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zasConta\Documents\Contabilidad y Cuenta Pública 2026\para publicar\"/>
    </mc:Choice>
  </mc:AlternateContent>
  <xr:revisionPtr revIDLastSave="0" documentId="13_ncr:1_{C44A4590-2930-4161-B5C2-6211FD1F17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supuesto Mensual de Ingresos" sheetId="1" r:id="rId1"/>
    <sheet name="Hoja3" sheetId="3" r:id="rId2"/>
  </sheets>
  <definedNames>
    <definedName name="_xlnm.Print_Titles" localSheetId="0">'Presupuesto Mensual de Ingresos'!$B:$B,'Presupuesto Mensual de Ingresos'!$1:$3</definedName>
  </definedNames>
  <calcPr calcId="181029"/>
</workbook>
</file>

<file path=xl/calcChain.xml><?xml version="1.0" encoding="utf-8"?>
<calcChain xmlns="http://schemas.openxmlformats.org/spreadsheetml/2006/main">
  <c r="C34" i="1" l="1"/>
  <c r="C31" i="1"/>
  <c r="C5" i="1"/>
  <c r="P54" i="1"/>
  <c r="P48" i="1"/>
  <c r="P47" i="1"/>
  <c r="P46" i="1"/>
  <c r="P45" i="1"/>
  <c r="P44" i="1"/>
  <c r="P43" i="1"/>
  <c r="D60" i="1"/>
  <c r="D55" i="1"/>
  <c r="D39" i="1"/>
  <c r="D15" i="1"/>
  <c r="C49" i="1"/>
  <c r="C4" i="1" s="1"/>
  <c r="O53" i="1"/>
  <c r="N53" i="1"/>
  <c r="M53" i="1"/>
  <c r="L53" i="1"/>
  <c r="K53" i="1"/>
  <c r="J53" i="1"/>
  <c r="I53" i="1"/>
  <c r="H53" i="1"/>
  <c r="G53" i="1"/>
  <c r="F53" i="1"/>
  <c r="E53" i="1"/>
  <c r="D53" i="1"/>
  <c r="D52" i="1"/>
  <c r="O33" i="1"/>
  <c r="N33" i="1"/>
  <c r="M33" i="1"/>
  <c r="L33" i="1"/>
  <c r="K33" i="1"/>
  <c r="J33" i="1"/>
  <c r="I33" i="1"/>
  <c r="H33" i="1"/>
  <c r="G33" i="1"/>
  <c r="F33" i="1"/>
  <c r="E33" i="1"/>
  <c r="D33" i="1"/>
  <c r="D6" i="1"/>
  <c r="O37" i="1"/>
  <c r="N37" i="1"/>
  <c r="M37" i="1"/>
  <c r="L37" i="1"/>
  <c r="K37" i="1"/>
  <c r="J37" i="1"/>
  <c r="I37" i="1"/>
  <c r="H37" i="1"/>
  <c r="G37" i="1"/>
  <c r="F37" i="1"/>
  <c r="E37" i="1"/>
  <c r="D37" i="1"/>
  <c r="D7" i="1"/>
  <c r="P53" i="1" l="1"/>
  <c r="P37" i="1"/>
  <c r="G60" i="1"/>
  <c r="O40" i="1" l="1"/>
  <c r="N40" i="1"/>
  <c r="M40" i="1"/>
  <c r="L40" i="1"/>
  <c r="K40" i="1"/>
  <c r="J40" i="1"/>
  <c r="I40" i="1"/>
  <c r="H40" i="1"/>
  <c r="G40" i="1"/>
  <c r="F40" i="1"/>
  <c r="E40" i="1"/>
  <c r="D40" i="1"/>
  <c r="O38" i="1"/>
  <c r="O50" i="1"/>
  <c r="N50" i="1"/>
  <c r="M50" i="1"/>
  <c r="L50" i="1"/>
  <c r="K50" i="1"/>
  <c r="J50" i="1"/>
  <c r="I50" i="1"/>
  <c r="H50" i="1"/>
  <c r="G50" i="1"/>
  <c r="F50" i="1"/>
  <c r="E50" i="1"/>
  <c r="D50" i="1"/>
  <c r="N38" i="1"/>
  <c r="F38" i="1"/>
  <c r="O36" i="1"/>
  <c r="N36" i="1"/>
  <c r="M36" i="1"/>
  <c r="L36" i="1"/>
  <c r="K36" i="1"/>
  <c r="J36" i="1"/>
  <c r="I36" i="1"/>
  <c r="H36" i="1"/>
  <c r="G36" i="1"/>
  <c r="F36" i="1"/>
  <c r="E36" i="1"/>
  <c r="D36" i="1"/>
  <c r="O30" i="1"/>
  <c r="N30" i="1"/>
  <c r="M30" i="1"/>
  <c r="L30" i="1"/>
  <c r="K30" i="1"/>
  <c r="J30" i="1"/>
  <c r="I30" i="1"/>
  <c r="H30" i="1"/>
  <c r="G30" i="1"/>
  <c r="F30" i="1"/>
  <c r="E30" i="1"/>
  <c r="D30" i="1"/>
  <c r="O27" i="1"/>
  <c r="N27" i="1"/>
  <c r="M27" i="1"/>
  <c r="L27" i="1"/>
  <c r="K27" i="1"/>
  <c r="J27" i="1"/>
  <c r="I27" i="1"/>
  <c r="H27" i="1"/>
  <c r="G27" i="1"/>
  <c r="F27" i="1"/>
  <c r="E27" i="1"/>
  <c r="D27" i="1"/>
  <c r="O14" i="1"/>
  <c r="N14" i="1"/>
  <c r="M14" i="1"/>
  <c r="L14" i="1"/>
  <c r="K14" i="1"/>
  <c r="J14" i="1"/>
  <c r="I14" i="1"/>
  <c r="H14" i="1"/>
  <c r="G14" i="1"/>
  <c r="F14" i="1"/>
  <c r="E14" i="1"/>
  <c r="D14" i="1"/>
  <c r="O12" i="1"/>
  <c r="N12" i="1"/>
  <c r="M12" i="1"/>
  <c r="L12" i="1"/>
  <c r="K12" i="1"/>
  <c r="J12" i="1"/>
  <c r="I12" i="1"/>
  <c r="H12" i="1"/>
  <c r="G12" i="1"/>
  <c r="F12" i="1"/>
  <c r="E12" i="1"/>
  <c r="D12" i="1"/>
  <c r="O7" i="1"/>
  <c r="N7" i="1"/>
  <c r="M7" i="1"/>
  <c r="L7" i="1"/>
  <c r="K7" i="1"/>
  <c r="J7" i="1"/>
  <c r="I7" i="1"/>
  <c r="H7" i="1"/>
  <c r="G7" i="1"/>
  <c r="F7" i="1"/>
  <c r="E7" i="1"/>
  <c r="O51" i="1"/>
  <c r="N51" i="1"/>
  <c r="M51" i="1"/>
  <c r="L51" i="1"/>
  <c r="K51" i="1"/>
  <c r="J51" i="1"/>
  <c r="I51" i="1"/>
  <c r="H51" i="1"/>
  <c r="G51" i="1"/>
  <c r="F51" i="1"/>
  <c r="E51" i="1"/>
  <c r="D51" i="1"/>
  <c r="D49" i="1" l="1"/>
  <c r="K38" i="1"/>
  <c r="J38" i="1"/>
  <c r="M38" i="1"/>
  <c r="D38" i="1"/>
  <c r="I38" i="1"/>
  <c r="H38" i="1"/>
  <c r="E38" i="1"/>
  <c r="L38" i="1"/>
  <c r="G38" i="1"/>
  <c r="AV63" i="1"/>
  <c r="AV61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V59" i="1"/>
  <c r="AV58" i="1"/>
  <c r="AV57" i="1"/>
  <c r="AV56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V42" i="1"/>
  <c r="AV41" i="1"/>
  <c r="AV40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V38" i="1"/>
  <c r="AV36" i="1"/>
  <c r="AV33" i="1"/>
  <c r="AV26" i="1"/>
  <c r="AV23" i="1"/>
  <c r="AV22" i="1"/>
  <c r="AV21" i="1"/>
  <c r="AV20" i="1"/>
  <c r="AV19" i="1"/>
  <c r="AV18" i="1"/>
  <c r="AV17" i="1"/>
  <c r="AV16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V13" i="1"/>
  <c r="AV11" i="1"/>
  <c r="AV10" i="1"/>
  <c r="AV9" i="1"/>
  <c r="AH60" i="1"/>
  <c r="AH59" i="1" s="1"/>
  <c r="AG60" i="1"/>
  <c r="AH55" i="1"/>
  <c r="AG55" i="1"/>
  <c r="AH39" i="1"/>
  <c r="AG39" i="1"/>
  <c r="AH15" i="1"/>
  <c r="AG15" i="1"/>
  <c r="AF63" i="1"/>
  <c r="AI63" i="1" s="1"/>
  <c r="AF61" i="1"/>
  <c r="AI61" i="1" s="1"/>
  <c r="AF59" i="1"/>
  <c r="AF58" i="1"/>
  <c r="AI58" i="1" s="1"/>
  <c r="AF57" i="1"/>
  <c r="AI57" i="1" s="1"/>
  <c r="AF56" i="1"/>
  <c r="AI56" i="1" s="1"/>
  <c r="AF42" i="1"/>
  <c r="AI42" i="1" s="1"/>
  <c r="AF41" i="1"/>
  <c r="AI41" i="1" s="1"/>
  <c r="AF40" i="1"/>
  <c r="AI40" i="1" s="1"/>
  <c r="AF38" i="1"/>
  <c r="AI38" i="1" s="1"/>
  <c r="AF36" i="1"/>
  <c r="AI36" i="1" s="1"/>
  <c r="AF33" i="1"/>
  <c r="AI33" i="1" s="1"/>
  <c r="AF26" i="1"/>
  <c r="AI26" i="1" s="1"/>
  <c r="AF23" i="1"/>
  <c r="AI23" i="1" s="1"/>
  <c r="AF22" i="1"/>
  <c r="AI22" i="1" s="1"/>
  <c r="AF21" i="1"/>
  <c r="AI21" i="1" s="1"/>
  <c r="AF20" i="1"/>
  <c r="AI20" i="1" s="1"/>
  <c r="AF19" i="1"/>
  <c r="AI19" i="1" s="1"/>
  <c r="AF18" i="1"/>
  <c r="AI18" i="1" s="1"/>
  <c r="AF17" i="1"/>
  <c r="AI17" i="1" s="1"/>
  <c r="AF16" i="1"/>
  <c r="AI16" i="1" s="1"/>
  <c r="AF13" i="1"/>
  <c r="AI13" i="1" s="1"/>
  <c r="AF11" i="1"/>
  <c r="AI11" i="1" s="1"/>
  <c r="AF10" i="1"/>
  <c r="AI10" i="1" s="1"/>
  <c r="AF9" i="1"/>
  <c r="AI9" i="1" s="1"/>
  <c r="P7" i="1"/>
  <c r="Q7" i="1" s="1"/>
  <c r="P9" i="1"/>
  <c r="Q9" i="1" s="1"/>
  <c r="P10" i="1"/>
  <c r="Q10" i="1" s="1"/>
  <c r="P11" i="1"/>
  <c r="Q11" i="1" s="1"/>
  <c r="P12" i="1"/>
  <c r="R12" i="1" s="1"/>
  <c r="P13" i="1"/>
  <c r="Q13" i="1" s="1"/>
  <c r="P14" i="1"/>
  <c r="Q14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6" i="1"/>
  <c r="Q26" i="1" s="1"/>
  <c r="P27" i="1"/>
  <c r="R27" i="1" s="1"/>
  <c r="P33" i="1"/>
  <c r="Q33" i="1" s="1"/>
  <c r="P36" i="1"/>
  <c r="Q36" i="1" s="1"/>
  <c r="P40" i="1"/>
  <c r="Q40" i="1" s="1"/>
  <c r="P41" i="1"/>
  <c r="Q41" i="1" s="1"/>
  <c r="P42" i="1"/>
  <c r="Q42" i="1" s="1"/>
  <c r="P50" i="1"/>
  <c r="Q50" i="1" s="1"/>
  <c r="S50" i="1" s="1"/>
  <c r="AA50" i="1" s="1"/>
  <c r="P51" i="1"/>
  <c r="Q51" i="1" s="1"/>
  <c r="P56" i="1"/>
  <c r="Q56" i="1" s="1"/>
  <c r="P57" i="1"/>
  <c r="Q57" i="1" s="1"/>
  <c r="P58" i="1"/>
  <c r="Q58" i="1" s="1"/>
  <c r="P59" i="1"/>
  <c r="P61" i="1"/>
  <c r="Q61" i="1" s="1"/>
  <c r="P63" i="1"/>
  <c r="Q63" i="1" s="1"/>
  <c r="AE60" i="1"/>
  <c r="AD60" i="1"/>
  <c r="AC60" i="1"/>
  <c r="AB60" i="1"/>
  <c r="AA60" i="1"/>
  <c r="Z60" i="1"/>
  <c r="Y60" i="1"/>
  <c r="X60" i="1"/>
  <c r="W60" i="1"/>
  <c r="V60" i="1"/>
  <c r="U60" i="1"/>
  <c r="T60" i="1"/>
  <c r="AE55" i="1"/>
  <c r="AD55" i="1"/>
  <c r="AC55" i="1"/>
  <c r="AB55" i="1"/>
  <c r="AA55" i="1"/>
  <c r="Z55" i="1"/>
  <c r="Y55" i="1"/>
  <c r="X55" i="1"/>
  <c r="W55" i="1"/>
  <c r="V55" i="1"/>
  <c r="U55" i="1"/>
  <c r="T55" i="1"/>
  <c r="AE39" i="1"/>
  <c r="AD39" i="1"/>
  <c r="AC39" i="1"/>
  <c r="AB39" i="1"/>
  <c r="AA39" i="1"/>
  <c r="Z39" i="1"/>
  <c r="Y39" i="1"/>
  <c r="X39" i="1"/>
  <c r="W39" i="1"/>
  <c r="V39" i="1"/>
  <c r="U39" i="1"/>
  <c r="T39" i="1"/>
  <c r="AE15" i="1"/>
  <c r="AD15" i="1"/>
  <c r="AC15" i="1"/>
  <c r="AB15" i="1"/>
  <c r="AA15" i="1"/>
  <c r="Z15" i="1"/>
  <c r="Y15" i="1"/>
  <c r="X15" i="1"/>
  <c r="W15" i="1"/>
  <c r="V15" i="1"/>
  <c r="U15" i="1"/>
  <c r="T15" i="1"/>
  <c r="O60" i="1"/>
  <c r="N60" i="1"/>
  <c r="M60" i="1"/>
  <c r="L60" i="1"/>
  <c r="K60" i="1"/>
  <c r="J60" i="1"/>
  <c r="I60" i="1"/>
  <c r="H60" i="1"/>
  <c r="F60" i="1"/>
  <c r="E60" i="1"/>
  <c r="O55" i="1"/>
  <c r="N55" i="1"/>
  <c r="M55" i="1"/>
  <c r="L55" i="1"/>
  <c r="K55" i="1"/>
  <c r="J55" i="1"/>
  <c r="I55" i="1"/>
  <c r="H55" i="1"/>
  <c r="G55" i="1"/>
  <c r="F55" i="1"/>
  <c r="E55" i="1"/>
  <c r="O39" i="1"/>
  <c r="N39" i="1"/>
  <c r="M39" i="1"/>
  <c r="L39" i="1"/>
  <c r="K39" i="1"/>
  <c r="J39" i="1"/>
  <c r="I39" i="1"/>
  <c r="H39" i="1"/>
  <c r="G39" i="1"/>
  <c r="F39" i="1"/>
  <c r="E39" i="1"/>
  <c r="O15" i="1"/>
  <c r="N15" i="1"/>
  <c r="M15" i="1"/>
  <c r="L15" i="1"/>
  <c r="K15" i="1"/>
  <c r="J15" i="1"/>
  <c r="I15" i="1"/>
  <c r="H15" i="1"/>
  <c r="G15" i="1"/>
  <c r="F15" i="1"/>
  <c r="E15" i="1"/>
  <c r="C15" i="1"/>
  <c r="O52" i="1"/>
  <c r="O49" i="1" s="1"/>
  <c r="N52" i="1"/>
  <c r="N49" i="1" s="1"/>
  <c r="M52" i="1"/>
  <c r="M49" i="1" s="1"/>
  <c r="L52" i="1"/>
  <c r="L49" i="1" s="1"/>
  <c r="K52" i="1"/>
  <c r="K49" i="1" s="1"/>
  <c r="J52" i="1"/>
  <c r="J49" i="1" s="1"/>
  <c r="I52" i="1"/>
  <c r="I49" i="1" s="1"/>
  <c r="H52" i="1"/>
  <c r="H49" i="1" s="1"/>
  <c r="G52" i="1"/>
  <c r="G49" i="1" s="1"/>
  <c r="F52" i="1"/>
  <c r="F49" i="1" s="1"/>
  <c r="E52" i="1"/>
  <c r="E49" i="1" s="1"/>
  <c r="O35" i="1"/>
  <c r="O34" i="1" s="1"/>
  <c r="N35" i="1"/>
  <c r="N34" i="1" s="1"/>
  <c r="M35" i="1"/>
  <c r="L35" i="1"/>
  <c r="K35" i="1"/>
  <c r="J35" i="1"/>
  <c r="I35" i="1"/>
  <c r="H35" i="1"/>
  <c r="H34" i="1" s="1"/>
  <c r="G35" i="1"/>
  <c r="F35" i="1"/>
  <c r="E35" i="1"/>
  <c r="D35" i="1"/>
  <c r="D34" i="1" s="1"/>
  <c r="O32" i="1"/>
  <c r="N32" i="1"/>
  <c r="M32" i="1"/>
  <c r="L32" i="1"/>
  <c r="K32" i="1"/>
  <c r="J32" i="1"/>
  <c r="I32" i="1"/>
  <c r="H32" i="1"/>
  <c r="G32" i="1"/>
  <c r="F32" i="1"/>
  <c r="E32" i="1"/>
  <c r="D32" i="1"/>
  <c r="D31" i="1" s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D28" i="1"/>
  <c r="O25" i="1"/>
  <c r="N25" i="1"/>
  <c r="M25" i="1"/>
  <c r="L25" i="1"/>
  <c r="K25" i="1"/>
  <c r="J25" i="1"/>
  <c r="I25" i="1"/>
  <c r="H25" i="1"/>
  <c r="G25" i="1"/>
  <c r="F25" i="1"/>
  <c r="E25" i="1"/>
  <c r="D25" i="1"/>
  <c r="P49" i="1" l="1"/>
  <c r="D24" i="1"/>
  <c r="AF60" i="1"/>
  <c r="AI60" i="1" s="1"/>
  <c r="P15" i="1"/>
  <c r="P55" i="1"/>
  <c r="AF15" i="1"/>
  <c r="AI15" i="1" s="1"/>
  <c r="AF55" i="1"/>
  <c r="AI55" i="1" s="1"/>
  <c r="R11" i="1"/>
  <c r="S11" i="1" s="1"/>
  <c r="R57" i="1"/>
  <c r="S57" i="1" s="1"/>
  <c r="AV15" i="1"/>
  <c r="P60" i="1"/>
  <c r="R17" i="1"/>
  <c r="S17" i="1" s="1"/>
  <c r="R21" i="1"/>
  <c r="S21" i="1" s="1"/>
  <c r="R41" i="1"/>
  <c r="S41" i="1" s="1"/>
  <c r="R63" i="1"/>
  <c r="S63" i="1" s="1"/>
  <c r="R9" i="1"/>
  <c r="S9" i="1" s="1"/>
  <c r="R13" i="1"/>
  <c r="S13" i="1" s="1"/>
  <c r="R19" i="1"/>
  <c r="S19" i="1" s="1"/>
  <c r="R23" i="1"/>
  <c r="S23" i="1" s="1"/>
  <c r="R58" i="1"/>
  <c r="S58" i="1" s="1"/>
  <c r="R10" i="1"/>
  <c r="S10" i="1" s="1"/>
  <c r="R16" i="1"/>
  <c r="S16" i="1" s="1"/>
  <c r="R18" i="1"/>
  <c r="R20" i="1"/>
  <c r="S20" i="1" s="1"/>
  <c r="R22" i="1"/>
  <c r="S22" i="1" s="1"/>
  <c r="R26" i="1"/>
  <c r="S26" i="1" s="1"/>
  <c r="R33" i="1"/>
  <c r="S33" i="1" s="1"/>
  <c r="R42" i="1"/>
  <c r="S42" i="1" s="1"/>
  <c r="R56" i="1"/>
  <c r="R61" i="1"/>
  <c r="S61" i="1" s="1"/>
  <c r="AV60" i="1"/>
  <c r="AF39" i="1"/>
  <c r="AI39" i="1" s="1"/>
  <c r="AV55" i="1"/>
  <c r="I34" i="1"/>
  <c r="G34" i="1"/>
  <c r="M34" i="1"/>
  <c r="P38" i="1"/>
  <c r="Q38" i="1" s="1"/>
  <c r="I31" i="1"/>
  <c r="E31" i="1"/>
  <c r="M31" i="1"/>
  <c r="F24" i="1"/>
  <c r="N24" i="1"/>
  <c r="P29" i="1"/>
  <c r="Q29" i="1" s="1"/>
  <c r="M24" i="1"/>
  <c r="P39" i="1"/>
  <c r="R40" i="1"/>
  <c r="S40" i="1" s="1"/>
  <c r="AV39" i="1"/>
  <c r="L34" i="1"/>
  <c r="K34" i="1"/>
  <c r="J34" i="1"/>
  <c r="E34" i="1"/>
  <c r="R36" i="1"/>
  <c r="S36" i="1" s="1"/>
  <c r="P35" i="1"/>
  <c r="R35" i="1" s="1"/>
  <c r="K31" i="1"/>
  <c r="J31" i="1"/>
  <c r="P32" i="1"/>
  <c r="L31" i="1"/>
  <c r="P30" i="1"/>
  <c r="Q30" i="1" s="1"/>
  <c r="E24" i="1"/>
  <c r="J24" i="1"/>
  <c r="K24" i="1"/>
  <c r="Q27" i="1"/>
  <c r="S27" i="1" s="1"/>
  <c r="R14" i="1"/>
  <c r="S14" i="1" s="1"/>
  <c r="Y14" i="1" s="1"/>
  <c r="Q12" i="1"/>
  <c r="S12" i="1" s="1"/>
  <c r="Z12" i="1" s="1"/>
  <c r="R7" i="1"/>
  <c r="S7" i="1" s="1"/>
  <c r="P52" i="1"/>
  <c r="Q52" i="1" s="1"/>
  <c r="S52" i="1" s="1"/>
  <c r="F34" i="1"/>
  <c r="H31" i="1"/>
  <c r="G31" i="1"/>
  <c r="O31" i="1"/>
  <c r="F31" i="1"/>
  <c r="N31" i="1"/>
  <c r="I24" i="1"/>
  <c r="H24" i="1"/>
  <c r="L24" i="1"/>
  <c r="G24" i="1"/>
  <c r="O24" i="1"/>
  <c r="P28" i="1"/>
  <c r="P25" i="1"/>
  <c r="R49" i="1"/>
  <c r="Q60" i="1"/>
  <c r="Q59" i="1" s="1"/>
  <c r="Q39" i="1"/>
  <c r="Q15" i="1"/>
  <c r="Q55" i="1"/>
  <c r="Z50" i="1"/>
  <c r="Y50" i="1"/>
  <c r="X50" i="1"/>
  <c r="U50" i="1"/>
  <c r="AC50" i="1"/>
  <c r="AE50" i="1"/>
  <c r="V50" i="1"/>
  <c r="T50" i="1"/>
  <c r="AB50" i="1"/>
  <c r="W50" i="1"/>
  <c r="AD50" i="1"/>
  <c r="AH49" i="1"/>
  <c r="AG59" i="1"/>
  <c r="AI59" i="1" s="1"/>
  <c r="O8" i="1"/>
  <c r="N8" i="1"/>
  <c r="M8" i="1"/>
  <c r="L8" i="1"/>
  <c r="K8" i="1"/>
  <c r="J8" i="1"/>
  <c r="I8" i="1"/>
  <c r="H8" i="1"/>
  <c r="G8" i="1"/>
  <c r="F8" i="1"/>
  <c r="E8" i="1"/>
  <c r="D8" i="1"/>
  <c r="D5" i="1" s="1"/>
  <c r="D4" i="1" s="1"/>
  <c r="O6" i="1"/>
  <c r="N6" i="1"/>
  <c r="M6" i="1"/>
  <c r="L6" i="1"/>
  <c r="K6" i="1"/>
  <c r="J6" i="1"/>
  <c r="I6" i="1"/>
  <c r="H6" i="1"/>
  <c r="G6" i="1"/>
  <c r="F6" i="1"/>
  <c r="E6" i="1"/>
  <c r="Q35" i="1" l="1"/>
  <c r="S35" i="1" s="1"/>
  <c r="R60" i="1"/>
  <c r="R59" i="1" s="1"/>
  <c r="S59" i="1" s="1"/>
  <c r="R55" i="1"/>
  <c r="S55" i="1" s="1"/>
  <c r="R15" i="1"/>
  <c r="S15" i="1" s="1"/>
  <c r="S18" i="1"/>
  <c r="S56" i="1"/>
  <c r="R29" i="1"/>
  <c r="S29" i="1" s="1"/>
  <c r="R38" i="1"/>
  <c r="S38" i="1" s="1"/>
  <c r="U52" i="1"/>
  <c r="Z52" i="1"/>
  <c r="X52" i="1"/>
  <c r="AB52" i="1"/>
  <c r="Y52" i="1"/>
  <c r="Q32" i="1"/>
  <c r="R32" i="1"/>
  <c r="Z27" i="1"/>
  <c r="T27" i="1"/>
  <c r="AD14" i="1"/>
  <c r="J5" i="1"/>
  <c r="J4" i="1" s="1"/>
  <c r="I5" i="1"/>
  <c r="I4" i="1" s="1"/>
  <c r="H5" i="1"/>
  <c r="H4" i="1" s="1"/>
  <c r="R39" i="1"/>
  <c r="S39" i="1" s="1"/>
  <c r="P34" i="1"/>
  <c r="Q49" i="1"/>
  <c r="S49" i="1" s="1"/>
  <c r="AE52" i="1"/>
  <c r="AA52" i="1"/>
  <c r="P31" i="1"/>
  <c r="R30" i="1"/>
  <c r="S30" i="1" s="1"/>
  <c r="V14" i="1"/>
  <c r="U14" i="1"/>
  <c r="AA14" i="1"/>
  <c r="Z14" i="1"/>
  <c r="AC14" i="1"/>
  <c r="AB14" i="1"/>
  <c r="X14" i="1"/>
  <c r="T14" i="1"/>
  <c r="AE14" i="1"/>
  <c r="W14" i="1"/>
  <c r="W52" i="1"/>
  <c r="AC52" i="1"/>
  <c r="V52" i="1"/>
  <c r="T52" i="1"/>
  <c r="AD52" i="1"/>
  <c r="Q28" i="1"/>
  <c r="R28" i="1"/>
  <c r="P24" i="1"/>
  <c r="R25" i="1"/>
  <c r="Q25" i="1"/>
  <c r="P8" i="1"/>
  <c r="K5" i="1"/>
  <c r="K4" i="1" s="1"/>
  <c r="P6" i="1"/>
  <c r="S51" i="1"/>
  <c r="AA12" i="1"/>
  <c r="U12" i="1"/>
  <c r="V12" i="1"/>
  <c r="V27" i="1"/>
  <c r="AD27" i="1"/>
  <c r="AA27" i="1"/>
  <c r="AC27" i="1"/>
  <c r="AB27" i="1"/>
  <c r="U27" i="1"/>
  <c r="W27" i="1"/>
  <c r="X27" i="1"/>
  <c r="AD12" i="1"/>
  <c r="AB12" i="1"/>
  <c r="AE12" i="1"/>
  <c r="T12" i="1"/>
  <c r="AE27" i="1"/>
  <c r="Y12" i="1"/>
  <c r="Y27" i="1"/>
  <c r="X12" i="1"/>
  <c r="AC12" i="1"/>
  <c r="W12" i="1"/>
  <c r="AF50" i="1"/>
  <c r="AD7" i="1"/>
  <c r="V7" i="1"/>
  <c r="X7" i="1"/>
  <c r="AE7" i="1"/>
  <c r="W7" i="1"/>
  <c r="Y7" i="1"/>
  <c r="Z7" i="1"/>
  <c r="AC7" i="1"/>
  <c r="U7" i="1"/>
  <c r="AA7" i="1"/>
  <c r="AB7" i="1"/>
  <c r="T7" i="1"/>
  <c r="G5" i="1"/>
  <c r="G4" i="1" s="1"/>
  <c r="O5" i="1"/>
  <c r="O4" i="1" s="1"/>
  <c r="F5" i="1"/>
  <c r="F4" i="1" s="1"/>
  <c r="N5" i="1"/>
  <c r="N4" i="1" s="1"/>
  <c r="E5" i="1"/>
  <c r="E4" i="1" s="1"/>
  <c r="M5" i="1"/>
  <c r="M4" i="1" s="1"/>
  <c r="L5" i="1"/>
  <c r="L4" i="1" s="1"/>
  <c r="C60" i="1"/>
  <c r="C55" i="1"/>
  <c r="C39" i="1"/>
  <c r="C24" i="1"/>
  <c r="P4" i="1" l="1"/>
  <c r="AF52" i="1"/>
  <c r="AG52" i="1" s="1"/>
  <c r="AI52" i="1" s="1"/>
  <c r="AU52" i="1" s="1"/>
  <c r="R34" i="1"/>
  <c r="AE35" i="1"/>
  <c r="AE34" i="1" s="1"/>
  <c r="Y35" i="1"/>
  <c r="Y34" i="1" s="1"/>
  <c r="Q34" i="1"/>
  <c r="S34" i="1" s="1"/>
  <c r="S60" i="1"/>
  <c r="S32" i="1"/>
  <c r="V32" i="1" s="1"/>
  <c r="AE29" i="1"/>
  <c r="AA29" i="1"/>
  <c r="Y29" i="1"/>
  <c r="AD29" i="1"/>
  <c r="V29" i="1"/>
  <c r="AC29" i="1"/>
  <c r="R31" i="1"/>
  <c r="AD35" i="1"/>
  <c r="AD34" i="1" s="1"/>
  <c r="X35" i="1"/>
  <c r="X34" i="1" s="1"/>
  <c r="AB29" i="1"/>
  <c r="Z29" i="1"/>
  <c r="X29" i="1"/>
  <c r="W29" i="1"/>
  <c r="T29" i="1"/>
  <c r="U29" i="1"/>
  <c r="Z35" i="1"/>
  <c r="Z34" i="1" s="1"/>
  <c r="W35" i="1"/>
  <c r="W34" i="1" s="1"/>
  <c r="AC35" i="1"/>
  <c r="AC34" i="1" s="1"/>
  <c r="AB35" i="1"/>
  <c r="AB34" i="1" s="1"/>
  <c r="V35" i="1"/>
  <c r="V34" i="1" s="1"/>
  <c r="Q31" i="1"/>
  <c r="R24" i="1"/>
  <c r="S28" i="1"/>
  <c r="Y28" i="1" s="1"/>
  <c r="AA35" i="1"/>
  <c r="AA34" i="1" s="1"/>
  <c r="U35" i="1"/>
  <c r="U34" i="1" s="1"/>
  <c r="T35" i="1"/>
  <c r="T34" i="1" s="1"/>
  <c r="AF14" i="1"/>
  <c r="AH14" i="1" s="1"/>
  <c r="AE51" i="1"/>
  <c r="AE49" i="1" s="1"/>
  <c r="W51" i="1"/>
  <c r="W49" i="1" s="1"/>
  <c r="X51" i="1"/>
  <c r="X49" i="1" s="1"/>
  <c r="Y51" i="1"/>
  <c r="Y49" i="1" s="1"/>
  <c r="Z51" i="1"/>
  <c r="Z49" i="1" s="1"/>
  <c r="AA51" i="1"/>
  <c r="AA49" i="1" s="1"/>
  <c r="AB51" i="1"/>
  <c r="AB49" i="1" s="1"/>
  <c r="T51" i="1"/>
  <c r="AC51" i="1"/>
  <c r="AC49" i="1" s="1"/>
  <c r="U51" i="1"/>
  <c r="U49" i="1" s="1"/>
  <c r="AD51" i="1"/>
  <c r="AD49" i="1" s="1"/>
  <c r="V51" i="1"/>
  <c r="V49" i="1" s="1"/>
  <c r="AA30" i="1"/>
  <c r="W30" i="1"/>
  <c r="AE30" i="1"/>
  <c r="V30" i="1"/>
  <c r="AD30" i="1"/>
  <c r="AC30" i="1"/>
  <c r="T30" i="1"/>
  <c r="Z30" i="1"/>
  <c r="AB30" i="1"/>
  <c r="Y30" i="1"/>
  <c r="U30" i="1"/>
  <c r="X30" i="1"/>
  <c r="Q24" i="1"/>
  <c r="S25" i="1"/>
  <c r="Q8" i="1"/>
  <c r="R8" i="1"/>
  <c r="P5" i="1"/>
  <c r="Q6" i="1"/>
  <c r="R6" i="1"/>
  <c r="AF27" i="1"/>
  <c r="AH27" i="1" s="1"/>
  <c r="AF12" i="1"/>
  <c r="AH12" i="1" s="1"/>
  <c r="AG50" i="1"/>
  <c r="AI50" i="1" s="1"/>
  <c r="AT50" i="1" s="1"/>
  <c r="AF7" i="1"/>
  <c r="AE32" i="1" l="1"/>
  <c r="AE31" i="1" s="1"/>
  <c r="AB28" i="1"/>
  <c r="X32" i="1"/>
  <c r="X31" i="1" s="1"/>
  <c r="AA32" i="1"/>
  <c r="Y32" i="1"/>
  <c r="AB32" i="1"/>
  <c r="AB31" i="1" s="1"/>
  <c r="AD32" i="1"/>
  <c r="AD31" i="1" s="1"/>
  <c r="S8" i="1"/>
  <c r="AD8" i="1" s="1"/>
  <c r="W32" i="1"/>
  <c r="W31" i="1" s="1"/>
  <c r="U32" i="1"/>
  <c r="AF29" i="1"/>
  <c r="AH29" i="1" s="1"/>
  <c r="T32" i="1"/>
  <c r="Z32" i="1"/>
  <c r="AC32" i="1"/>
  <c r="AC31" i="1" s="1"/>
  <c r="S31" i="1"/>
  <c r="AF34" i="1"/>
  <c r="X28" i="1"/>
  <c r="AC28" i="1"/>
  <c r="Z28" i="1"/>
  <c r="AA28" i="1"/>
  <c r="W28" i="1"/>
  <c r="AE28" i="1"/>
  <c r="U28" i="1"/>
  <c r="AD28" i="1"/>
  <c r="T28" i="1"/>
  <c r="S24" i="1"/>
  <c r="AG14" i="1"/>
  <c r="AI14" i="1" s="1"/>
  <c r="AU14" i="1" s="1"/>
  <c r="AF35" i="1"/>
  <c r="AH35" i="1" s="1"/>
  <c r="AH34" i="1" s="1"/>
  <c r="V28" i="1"/>
  <c r="Q5" i="1"/>
  <c r="Q4" i="1" s="1"/>
  <c r="R5" i="1"/>
  <c r="R4" i="1" s="1"/>
  <c r="AF51" i="1"/>
  <c r="AG51" i="1" s="1"/>
  <c r="AI51" i="1" s="1"/>
  <c r="T49" i="1"/>
  <c r="AF49" i="1" s="1"/>
  <c r="V31" i="1"/>
  <c r="AF30" i="1"/>
  <c r="AE25" i="1"/>
  <c r="U25" i="1"/>
  <c r="AA25" i="1"/>
  <c r="AD25" i="1"/>
  <c r="Z25" i="1"/>
  <c r="V25" i="1"/>
  <c r="AB25" i="1"/>
  <c r="AB24" i="1" s="1"/>
  <c r="Y25" i="1"/>
  <c r="Y24" i="1" s="1"/>
  <c r="T25" i="1"/>
  <c r="W25" i="1"/>
  <c r="X25" i="1"/>
  <c r="AC25" i="1"/>
  <c r="S6" i="1"/>
  <c r="AU50" i="1"/>
  <c r="AJ52" i="1"/>
  <c r="AP50" i="1"/>
  <c r="AL52" i="1"/>
  <c r="AO52" i="1"/>
  <c r="AM52" i="1"/>
  <c r="AQ52" i="1"/>
  <c r="AT52" i="1"/>
  <c r="AS50" i="1"/>
  <c r="AN52" i="1"/>
  <c r="AG12" i="1"/>
  <c r="AI12" i="1" s="1"/>
  <c r="AN12" i="1" s="1"/>
  <c r="AG27" i="1"/>
  <c r="AI27" i="1" s="1"/>
  <c r="AR27" i="1" s="1"/>
  <c r="AQ50" i="1"/>
  <c r="AR52" i="1"/>
  <c r="AJ50" i="1"/>
  <c r="AL50" i="1"/>
  <c r="AN50" i="1"/>
  <c r="AK52" i="1"/>
  <c r="AK50" i="1"/>
  <c r="AS52" i="1"/>
  <c r="AP52" i="1"/>
  <c r="AR50" i="1"/>
  <c r="AM50" i="1"/>
  <c r="AO50" i="1"/>
  <c r="AG7" i="1"/>
  <c r="AH7" i="1"/>
  <c r="AG29" i="1" l="1"/>
  <c r="AI29" i="1" s="1"/>
  <c r="AK29" i="1" s="1"/>
  <c r="AA24" i="1"/>
  <c r="AE24" i="1"/>
  <c r="T8" i="1"/>
  <c r="U8" i="1"/>
  <c r="Z8" i="1"/>
  <c r="AB8" i="1"/>
  <c r="AA8" i="1"/>
  <c r="AA31" i="1"/>
  <c r="Z31" i="1"/>
  <c r="Y8" i="1"/>
  <c r="Y31" i="1"/>
  <c r="AF32" i="1"/>
  <c r="AG32" i="1" s="1"/>
  <c r="W24" i="1"/>
  <c r="V24" i="1"/>
  <c r="AE8" i="1"/>
  <c r="AC8" i="1"/>
  <c r="W8" i="1"/>
  <c r="X8" i="1"/>
  <c r="V8" i="1"/>
  <c r="U31" i="1"/>
  <c r="AF28" i="1"/>
  <c r="AH28" i="1" s="1"/>
  <c r="U24" i="1"/>
  <c r="X24" i="1"/>
  <c r="AC24" i="1"/>
  <c r="AD24" i="1"/>
  <c r="Z24" i="1"/>
  <c r="AK14" i="1"/>
  <c r="S5" i="1"/>
  <c r="S4" i="1"/>
  <c r="AG35" i="1"/>
  <c r="AG34" i="1" s="1"/>
  <c r="AI34" i="1" s="1"/>
  <c r="AL29" i="1"/>
  <c r="AT14" i="1"/>
  <c r="AQ51" i="1"/>
  <c r="AQ49" i="1" s="1"/>
  <c r="AR51" i="1"/>
  <c r="AR49" i="1" s="1"/>
  <c r="AJ51" i="1"/>
  <c r="AJ49" i="1" s="1"/>
  <c r="AS51" i="1"/>
  <c r="AS49" i="1" s="1"/>
  <c r="AK51" i="1"/>
  <c r="AK49" i="1" s="1"/>
  <c r="AT51" i="1"/>
  <c r="AT49" i="1" s="1"/>
  <c r="AL51" i="1"/>
  <c r="AL49" i="1" s="1"/>
  <c r="AU51" i="1"/>
  <c r="AU49" i="1" s="1"/>
  <c r="AM51" i="1"/>
  <c r="AM49" i="1" s="1"/>
  <c r="AN51" i="1"/>
  <c r="AN49" i="1" s="1"/>
  <c r="AO51" i="1"/>
  <c r="AO49" i="1" s="1"/>
  <c r="AP51" i="1"/>
  <c r="AP49" i="1" s="1"/>
  <c r="AG49" i="1"/>
  <c r="AI49" i="1" s="1"/>
  <c r="T31" i="1"/>
  <c r="AG30" i="1"/>
  <c r="AH30" i="1"/>
  <c r="AF25" i="1"/>
  <c r="T24" i="1"/>
  <c r="AB6" i="1"/>
  <c r="V6" i="1"/>
  <c r="W6" i="1"/>
  <c r="T6" i="1"/>
  <c r="AE6" i="1"/>
  <c r="AC6" i="1"/>
  <c r="Y6" i="1"/>
  <c r="AA6" i="1"/>
  <c r="AD6" i="1"/>
  <c r="AD5" i="1" s="1"/>
  <c r="X6" i="1"/>
  <c r="U6" i="1"/>
  <c r="U5" i="1" s="1"/>
  <c r="Z6" i="1"/>
  <c r="Z5" i="1" s="1"/>
  <c r="AO29" i="1"/>
  <c r="AL14" i="1"/>
  <c r="AL12" i="1"/>
  <c r="AR14" i="1"/>
  <c r="AQ14" i="1"/>
  <c r="AT27" i="1"/>
  <c r="AV52" i="1"/>
  <c r="AJ27" i="1"/>
  <c r="AI7" i="1"/>
  <c r="AL7" i="1" s="1"/>
  <c r="AM29" i="1"/>
  <c r="AN14" i="1"/>
  <c r="AL27" i="1"/>
  <c r="AM14" i="1"/>
  <c r="AU29" i="1"/>
  <c r="AN29" i="1"/>
  <c r="AT29" i="1"/>
  <c r="AS14" i="1"/>
  <c r="AS27" i="1"/>
  <c r="AS29" i="1"/>
  <c r="AJ14" i="1"/>
  <c r="AK27" i="1"/>
  <c r="AJ29" i="1"/>
  <c r="AQ29" i="1"/>
  <c r="AS12" i="1"/>
  <c r="AK12" i="1"/>
  <c r="AU27" i="1"/>
  <c r="AO14" i="1"/>
  <c r="AP29" i="1"/>
  <c r="AR29" i="1"/>
  <c r="AP14" i="1"/>
  <c r="AQ27" i="1"/>
  <c r="AR12" i="1"/>
  <c r="AO12" i="1"/>
  <c r="AJ12" i="1"/>
  <c r="AM12" i="1"/>
  <c r="AM27" i="1"/>
  <c r="AN27" i="1"/>
  <c r="AQ12" i="1"/>
  <c r="AP27" i="1"/>
  <c r="AP12" i="1"/>
  <c r="AT12" i="1"/>
  <c r="AO27" i="1"/>
  <c r="AU12" i="1"/>
  <c r="AV50" i="1"/>
  <c r="AE5" i="1" l="1"/>
  <c r="AE4" i="1" s="1"/>
  <c r="AH32" i="1"/>
  <c r="AI32" i="1" s="1"/>
  <c r="AR32" i="1" s="1"/>
  <c r="AC5" i="1"/>
  <c r="AC4" i="1" s="1"/>
  <c r="X5" i="1"/>
  <c r="X4" i="1" s="1"/>
  <c r="W5" i="1"/>
  <c r="W4" i="1" s="1"/>
  <c r="AA5" i="1"/>
  <c r="AA4" i="1" s="1"/>
  <c r="AB5" i="1"/>
  <c r="AB4" i="1" s="1"/>
  <c r="Y5" i="1"/>
  <c r="Y4" i="1" s="1"/>
  <c r="AF8" i="1"/>
  <c r="AH8" i="1" s="1"/>
  <c r="AK32" i="1"/>
  <c r="AM32" i="1"/>
  <c r="AN32" i="1"/>
  <c r="AO32" i="1"/>
  <c r="AF31" i="1"/>
  <c r="V5" i="1"/>
  <c r="V4" i="1" s="1"/>
  <c r="Z4" i="1"/>
  <c r="AG28" i="1"/>
  <c r="AI28" i="1" s="1"/>
  <c r="AR28" i="1" s="1"/>
  <c r="AI35" i="1"/>
  <c r="AJ35" i="1" s="1"/>
  <c r="AJ34" i="1" s="1"/>
  <c r="AJ32" i="1"/>
  <c r="AU32" i="1"/>
  <c r="AT32" i="1"/>
  <c r="AF24" i="1"/>
  <c r="AD4" i="1"/>
  <c r="U4" i="1"/>
  <c r="AI30" i="1"/>
  <c r="AQ30" i="1" s="1"/>
  <c r="AQ7" i="1"/>
  <c r="AM7" i="1"/>
  <c r="AJ7" i="1"/>
  <c r="AV51" i="1"/>
  <c r="AH31" i="1"/>
  <c r="AH25" i="1"/>
  <c r="AH24" i="1" s="1"/>
  <c r="AG25" i="1"/>
  <c r="T5" i="1"/>
  <c r="T4" i="1" s="1"/>
  <c r="AF6" i="1"/>
  <c r="AO7" i="1"/>
  <c r="AN7" i="1"/>
  <c r="AR7" i="1"/>
  <c r="AU7" i="1"/>
  <c r="AV29" i="1"/>
  <c r="AP7" i="1"/>
  <c r="AK7" i="1"/>
  <c r="AS7" i="1"/>
  <c r="AT7" i="1"/>
  <c r="AV49" i="1"/>
  <c r="AV14" i="1"/>
  <c r="AV12" i="1"/>
  <c r="AV27" i="1"/>
  <c r="AL32" i="1" l="1"/>
  <c r="AF4" i="1"/>
  <c r="AQ32" i="1"/>
  <c r="AK35" i="1"/>
  <c r="AK34" i="1" s="1"/>
  <c r="AS32" i="1"/>
  <c r="AP32" i="1"/>
  <c r="AP35" i="1"/>
  <c r="AP34" i="1" s="1"/>
  <c r="AS35" i="1"/>
  <c r="AS34" i="1" s="1"/>
  <c r="AG8" i="1"/>
  <c r="AN28" i="1"/>
  <c r="AK28" i="1"/>
  <c r="AT28" i="1"/>
  <c r="AL35" i="1"/>
  <c r="AL34" i="1" s="1"/>
  <c r="AR35" i="1"/>
  <c r="AR34" i="1" s="1"/>
  <c r="AO35" i="1"/>
  <c r="AO34" i="1" s="1"/>
  <c r="AJ28" i="1"/>
  <c r="AO28" i="1"/>
  <c r="AG24" i="1"/>
  <c r="AI24" i="1" s="1"/>
  <c r="AL28" i="1"/>
  <c r="AU35" i="1"/>
  <c r="AU34" i="1" s="1"/>
  <c r="AM35" i="1"/>
  <c r="AM34" i="1" s="1"/>
  <c r="AN35" i="1"/>
  <c r="AN34" i="1" s="1"/>
  <c r="AQ35" i="1"/>
  <c r="AQ34" i="1" s="1"/>
  <c r="AT35" i="1"/>
  <c r="AT34" i="1" s="1"/>
  <c r="AS28" i="1"/>
  <c r="AP28" i="1"/>
  <c r="AM28" i="1"/>
  <c r="AU28" i="1"/>
  <c r="AQ28" i="1"/>
  <c r="AV32" i="1"/>
  <c r="AO30" i="1"/>
  <c r="AK30" i="1"/>
  <c r="AU30" i="1"/>
  <c r="AM30" i="1"/>
  <c r="AT30" i="1"/>
  <c r="AJ30" i="1"/>
  <c r="AN30" i="1"/>
  <c r="AS30" i="1"/>
  <c r="AL30" i="1"/>
  <c r="AR30" i="1"/>
  <c r="AP30" i="1"/>
  <c r="AI8" i="1"/>
  <c r="AU8" i="1" s="1"/>
  <c r="AF5" i="1"/>
  <c r="AG31" i="1"/>
  <c r="AI31" i="1" s="1"/>
  <c r="AI25" i="1"/>
  <c r="AH6" i="1"/>
  <c r="AH5" i="1" s="1"/>
  <c r="AH4" i="1" s="1"/>
  <c r="AG6" i="1"/>
  <c r="AV7" i="1"/>
  <c r="AV34" i="1" l="1"/>
  <c r="AV35" i="1"/>
  <c r="AV28" i="1"/>
  <c r="AJ8" i="1"/>
  <c r="AQ8" i="1"/>
  <c r="AL8" i="1"/>
  <c r="AS8" i="1"/>
  <c r="AT8" i="1"/>
  <c r="AK8" i="1"/>
  <c r="AM8" i="1"/>
  <c r="AV30" i="1"/>
  <c r="AP8" i="1"/>
  <c r="AR8" i="1"/>
  <c r="AO8" i="1"/>
  <c r="AN8" i="1"/>
  <c r="AN31" i="1"/>
  <c r="AL31" i="1"/>
  <c r="AK31" i="1"/>
  <c r="AO31" i="1"/>
  <c r="AM31" i="1"/>
  <c r="AR31" i="1"/>
  <c r="AQ31" i="1"/>
  <c r="AT31" i="1"/>
  <c r="AU31" i="1"/>
  <c r="AS31" i="1"/>
  <c r="AP31" i="1"/>
  <c r="AT25" i="1"/>
  <c r="AT24" i="1" s="1"/>
  <c r="AN25" i="1"/>
  <c r="AN24" i="1" s="1"/>
  <c r="AO25" i="1"/>
  <c r="AO24" i="1" s="1"/>
  <c r="AU25" i="1"/>
  <c r="AU24" i="1" s="1"/>
  <c r="AP25" i="1"/>
  <c r="AP24" i="1" s="1"/>
  <c r="AM25" i="1"/>
  <c r="AM24" i="1" s="1"/>
  <c r="AS25" i="1"/>
  <c r="AS24" i="1" s="1"/>
  <c r="AQ25" i="1"/>
  <c r="AQ24" i="1" s="1"/>
  <c r="AK25" i="1"/>
  <c r="AK24" i="1" s="1"/>
  <c r="AR25" i="1"/>
  <c r="AR24" i="1" s="1"/>
  <c r="AJ25" i="1"/>
  <c r="AL25" i="1"/>
  <c r="AL24" i="1" s="1"/>
  <c r="AI6" i="1"/>
  <c r="AG5" i="1"/>
  <c r="AV8" i="1" l="1"/>
  <c r="AJ31" i="1"/>
  <c r="AV31" i="1" s="1"/>
  <c r="AV25" i="1"/>
  <c r="AJ24" i="1"/>
  <c r="AV24" i="1" s="1"/>
  <c r="AT6" i="1"/>
  <c r="AT5" i="1" s="1"/>
  <c r="AT4" i="1" s="1"/>
  <c r="AU6" i="1"/>
  <c r="AU5" i="1" s="1"/>
  <c r="AU4" i="1" s="1"/>
  <c r="AO6" i="1"/>
  <c r="AO5" i="1" s="1"/>
  <c r="AO4" i="1" s="1"/>
  <c r="AK6" i="1"/>
  <c r="AK5" i="1" s="1"/>
  <c r="AK4" i="1" s="1"/>
  <c r="AR6" i="1"/>
  <c r="AR5" i="1" s="1"/>
  <c r="AR4" i="1" s="1"/>
  <c r="AM6" i="1"/>
  <c r="AM5" i="1" s="1"/>
  <c r="AM4" i="1" s="1"/>
  <c r="AP6" i="1"/>
  <c r="AP5" i="1" s="1"/>
  <c r="AP4" i="1" s="1"/>
  <c r="AS6" i="1"/>
  <c r="AS5" i="1" s="1"/>
  <c r="AS4" i="1" s="1"/>
  <c r="AJ6" i="1"/>
  <c r="AQ6" i="1"/>
  <c r="AQ5" i="1" s="1"/>
  <c r="AQ4" i="1" s="1"/>
  <c r="AL6" i="1"/>
  <c r="AL5" i="1" s="1"/>
  <c r="AL4" i="1" s="1"/>
  <c r="AN6" i="1"/>
  <c r="AN5" i="1" s="1"/>
  <c r="AN4" i="1" s="1"/>
  <c r="AG4" i="1"/>
  <c r="AI4" i="1" s="1"/>
  <c r="AI5" i="1"/>
  <c r="AJ5" i="1" l="1"/>
  <c r="AV6" i="1"/>
  <c r="AJ4" i="1" l="1"/>
  <c r="AV4" i="1" s="1"/>
  <c r="AV5" i="1"/>
</calcChain>
</file>

<file path=xl/sharedStrings.xml><?xml version="1.0" encoding="utf-8"?>
<sst xmlns="http://schemas.openxmlformats.org/spreadsheetml/2006/main" count="112" uniqueCount="78">
  <si>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</si>
  <si>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</si>
  <si>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</si>
  <si>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</si>
  <si>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</si>
  <si>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</si>
  <si>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</si>
  <si>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</si>
  <si>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</si>
  <si>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</si>
  <si>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</si>
  <si>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</si>
  <si>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</si>
  <si>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</si>
  <si>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</si>
  <si>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</si>
  <si>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</si>
  <si>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</si>
  <si>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</si>
  <si>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</si>
  <si>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</si>
  <si>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</si>
  <si>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</si>
  <si>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</si>
  <si>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</si>
  <si>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</si>
  <si>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</si>
  <si>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</si>
  <si>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</si>
  <si>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</si>
  <si>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</si>
  <si>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</si>
  <si>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</si>
  <si>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</si>
  <si>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</si>
  <si>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</si>
  <si>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Productos</t>
  </si>
  <si>
    <t>Aprovechamientos</t>
  </si>
  <si>
    <t>Participaciones y Aportaciones</t>
  </si>
  <si>
    <t>Participaciones</t>
  </si>
  <si>
    <t xml:space="preserve">Aportaciones </t>
  </si>
  <si>
    <t>Convenios</t>
  </si>
  <si>
    <t>Subsidios y Subvenciones</t>
  </si>
  <si>
    <t xml:space="preserve">Pensiones y Jubilaciones </t>
  </si>
  <si>
    <t>Ingresos derivados de Financiamientos</t>
  </si>
  <si>
    <t>MUNICIPIO DE CALVILLO</t>
  </si>
  <si>
    <t>Crecimiento</t>
  </si>
  <si>
    <t xml:space="preserve">Inflación </t>
  </si>
  <si>
    <t>Presupuesto 2015</t>
  </si>
  <si>
    <t>Presupuesto 2016</t>
  </si>
  <si>
    <t>Calendario de Ingresos del Ejercicio Fiscal 2016</t>
  </si>
  <si>
    <t>Calendario de Ingresos del Ejercicio Fiscal 2017</t>
  </si>
  <si>
    <t>Aprovechamientos patrimoniales</t>
  </si>
  <si>
    <t xml:space="preserve"> ACCESORIOS DE APROVECHAMIENTOS</t>
  </si>
  <si>
    <t>IMPUESTOS NO COMPRENDIDOS EN LA LEY DE INGRESO VIGENTE, CAUSADOS EN EJERCICIOS FISCALES ANTERIORES PENDIENTES DE LIQUIDACIÓN O PAGO</t>
  </si>
  <si>
    <t xml:space="preserve"> DERECHOS NO COMPRENDIDOS EN LA LEY DE INGRESOS VIGENTE, CAUSADOS EN EJERCICIOS FISCALES ANTERIORES PENDIENTES DE LIQUIDACIÓN O PAGO</t>
  </si>
  <si>
    <t xml:space="preserve"> PRODUCTOS NO COMPRENDIDOS EN LA LEY DE INGRESOS VIGENTE, CAUSADOS EN EJERCICIOS FISCALES ANTERIORES PENDIENTES DE LIQUIDACIÓN O PAGO</t>
  </si>
  <si>
    <t xml:space="preserve"> APROVECHAMIENTOS NO COMPRENDIDOS EN LA LEY DE INGRESOS VIGENTE, CAUSADOS EN EJERCICIOS FISCALES ANTERIORES PENDIENTES DE LIQUIDACIÓN O PAGO</t>
  </si>
  <si>
    <t>Accesorios de Cuotas y aportacines de Seguridad Social</t>
  </si>
  <si>
    <t>Ingresos por ventas de bienes y Prestacion de Servicios y Otros Ingresos</t>
  </si>
  <si>
    <t>Endeudamiento interno</t>
  </si>
  <si>
    <t>Endeudamiento externo</t>
  </si>
  <si>
    <t>Finaciamiento Interno</t>
  </si>
  <si>
    <t>Transferencias, Asignaciones, Subsidios y Subvenciones y Pensiones y Jubilaciones</t>
  </si>
  <si>
    <t>Transferencias y Asignaciones</t>
  </si>
  <si>
    <t>Transferencias del Fondo Mexicano del Petroleo para la Estabilización y el Desarrollo</t>
  </si>
  <si>
    <t>Incentivos Derivados de la Colaboración Fiscal</t>
  </si>
  <si>
    <t>Fondos Distintos de Aportaciones</t>
  </si>
  <si>
    <t xml:space="preserve">Ingresos por Venta de Bienes y Prestación de Servicios 
de Instituciones Públicas de Seguridad Social </t>
  </si>
  <si>
    <t xml:space="preserve">Ingresos por Venta de Bienes y Prestación de Servicios 
de Empresas Productivas del Estado </t>
  </si>
  <si>
    <t xml:space="preserve">Ingresos por Venta de Bienes y Prestación de Servicios 
de Entidades Paraestatales y Fideicomisos No 
Empresariales y No Financieros 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</si>
  <si>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</si>
  <si>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</si>
  <si>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</si>
  <si>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</si>
  <si>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</si>
  <si>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</si>
  <si>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Calendario de Ingresos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</si>
</sst>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wrapText="1"/>
    </xf>
    <xf numFmtId="10" fontId="3" fillId="0" borderId="0" xfId="0" applyNumberFormat="1" applyFont="1"/>
    <xf numFmtId="9" fontId="3" fillId="0" borderId="0" xfId="0" applyNumberFormat="1" applyFont="1"/>
    <xf numFmtId="0" fontId="3" fillId="0" borderId="0" xfId="0" applyFont="1"/>
    <xf numFmtId="0" fontId="2" fillId="0" borderId="21" xfId="0" applyFont="1" applyBorder="1" applyAlignment="1">
      <alignment wrapText="1"/>
    </xf>
    <xf numFmtId="0" fontId="2" fillId="3" borderId="12" xfId="0" applyFont="1" applyFill="1" applyBorder="1" applyAlignment="1">
      <alignment vertical="center" wrapText="1"/>
    </xf>
    <xf numFmtId="44" fontId="4" fillId="3" borderId="13" xfId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44" fontId="2" fillId="0" borderId="14" xfId="1" applyFont="1" applyBorder="1" applyAlignment="1">
      <alignment vertical="center" wrapText="1"/>
    </xf>
    <xf numFmtId="44" fontId="2" fillId="0" borderId="18" xfId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44" fontId="2" fillId="0" borderId="4" xfId="1" applyFont="1" applyBorder="1" applyAlignment="1">
      <alignment vertical="center" wrapText="1"/>
    </xf>
    <xf numFmtId="0" fontId="2" fillId="2" borderId="5" xfId="0" applyFont="1" applyFill="1" applyBorder="1" applyAlignment="1">
      <alignment horizontal="justify" vertical="top" wrapText="1"/>
    </xf>
    <xf numFmtId="44" fontId="5" fillId="2" borderId="2" xfId="1" applyFont="1" applyFill="1" applyBorder="1" applyAlignment="1">
      <alignment horizontal="right"/>
    </xf>
    <xf numFmtId="44" fontId="5" fillId="2" borderId="15" xfId="1" applyFont="1" applyFill="1" applyBorder="1" applyAlignment="1">
      <alignment horizontal="right"/>
    </xf>
    <xf numFmtId="44" fontId="5" fillId="2" borderId="6" xfId="1" applyFont="1" applyFill="1" applyBorder="1" applyAlignment="1">
      <alignment horizontal="right"/>
    </xf>
    <xf numFmtId="8" fontId="2" fillId="0" borderId="0" xfId="0" applyNumberFormat="1" applyFont="1"/>
    <xf numFmtId="44" fontId="5" fillId="2" borderId="5" xfId="1" applyFont="1" applyFill="1" applyBorder="1" applyAlignment="1">
      <alignment horizontal="right"/>
    </xf>
    <xf numFmtId="0" fontId="2" fillId="0" borderId="0" xfId="0" applyFont="1"/>
    <xf numFmtId="0" fontId="3" fillId="0" borderId="7" xfId="0" applyFont="1" applyBorder="1" applyAlignment="1">
      <alignment horizontal="justify" vertical="top" wrapText="1"/>
    </xf>
    <xf numFmtId="44" fontId="6" fillId="0" borderId="3" xfId="1" applyFont="1" applyBorder="1" applyAlignment="1">
      <alignment horizontal="right"/>
    </xf>
    <xf numFmtId="44" fontId="3" fillId="0" borderId="3" xfId="1" applyFont="1" applyBorder="1" applyAlignment="1">
      <alignment wrapText="1"/>
    </xf>
    <xf numFmtId="44" fontId="3" fillId="0" borderId="16" xfId="1" applyFont="1" applyBorder="1" applyAlignment="1">
      <alignment wrapText="1"/>
    </xf>
    <xf numFmtId="44" fontId="3" fillId="0" borderId="8" xfId="1" applyFont="1" applyBorder="1" applyAlignment="1">
      <alignment wrapText="1"/>
    </xf>
    <xf numFmtId="8" fontId="3" fillId="0" borderId="0" xfId="0" applyNumberFormat="1" applyFont="1"/>
    <xf numFmtId="44" fontId="3" fillId="0" borderId="7" xfId="1" applyFont="1" applyBorder="1" applyAlignment="1">
      <alignment wrapText="1"/>
    </xf>
    <xf numFmtId="0" fontId="2" fillId="2" borderId="7" xfId="0" applyFont="1" applyFill="1" applyBorder="1" applyAlignment="1">
      <alignment horizontal="justify" vertical="top" wrapText="1"/>
    </xf>
    <xf numFmtId="44" fontId="5" fillId="2" borderId="3" xfId="1" applyFont="1" applyFill="1" applyBorder="1" applyAlignment="1">
      <alignment horizontal="right"/>
    </xf>
    <xf numFmtId="44" fontId="5" fillId="2" borderId="16" xfId="1" applyFont="1" applyFill="1" applyBorder="1" applyAlignment="1">
      <alignment horizontal="right"/>
    </xf>
    <xf numFmtId="44" fontId="5" fillId="2" borderId="8" xfId="1" applyFont="1" applyFill="1" applyBorder="1" applyAlignment="1">
      <alignment horizontal="right"/>
    </xf>
    <xf numFmtId="44" fontId="5" fillId="2" borderId="7" xfId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4" fontId="6" fillId="0" borderId="3" xfId="1" applyFont="1" applyBorder="1" applyAlignment="1">
      <alignment horizontal="right" vertical="center"/>
    </xf>
    <xf numFmtId="44" fontId="3" fillId="0" borderId="3" xfId="1" applyFont="1" applyBorder="1" applyAlignment="1">
      <alignment vertical="center" wrapText="1"/>
    </xf>
    <xf numFmtId="44" fontId="3" fillId="0" borderId="16" xfId="1" applyFont="1" applyBorder="1" applyAlignment="1">
      <alignment vertical="center" wrapText="1"/>
    </xf>
    <xf numFmtId="44" fontId="3" fillId="0" borderId="8" xfId="1" applyFont="1" applyBorder="1" applyAlignment="1">
      <alignment vertical="center" wrapText="1"/>
    </xf>
    <xf numFmtId="8" fontId="3" fillId="0" borderId="0" xfId="0" applyNumberFormat="1" applyFont="1" applyAlignment="1">
      <alignment vertical="center"/>
    </xf>
    <xf numFmtId="44" fontId="3" fillId="0" borderId="7" xfId="1" applyFont="1" applyBorder="1" applyAlignment="1">
      <alignment vertical="center" wrapText="1"/>
    </xf>
    <xf numFmtId="44" fontId="5" fillId="0" borderId="3" xfId="1" applyFont="1" applyBorder="1" applyAlignment="1">
      <alignment horizontal="right" vertical="center"/>
    </xf>
    <xf numFmtId="44" fontId="7" fillId="0" borderId="3" xfId="1" applyFont="1" applyBorder="1" applyAlignment="1">
      <alignment wrapText="1"/>
    </xf>
    <xf numFmtId="0" fontId="3" fillId="0" borderId="9" xfId="0" applyFont="1" applyBorder="1" applyAlignment="1">
      <alignment horizontal="justify" vertical="top" wrapText="1"/>
    </xf>
    <xf numFmtId="44" fontId="7" fillId="0" borderId="10" xfId="1" applyFont="1" applyBorder="1" applyAlignment="1">
      <alignment wrapText="1"/>
    </xf>
    <xf numFmtId="44" fontId="3" fillId="0" borderId="10" xfId="1" applyFont="1" applyBorder="1" applyAlignment="1">
      <alignment wrapText="1"/>
    </xf>
    <xf numFmtId="44" fontId="3" fillId="0" borderId="17" xfId="1" applyFont="1" applyBorder="1" applyAlignment="1">
      <alignment wrapText="1"/>
    </xf>
    <xf numFmtId="44" fontId="3" fillId="0" borderId="11" xfId="1" applyFont="1" applyBorder="1" applyAlignment="1">
      <alignment wrapText="1"/>
    </xf>
    <xf numFmtId="44" fontId="3" fillId="0" borderId="9" xfId="1" applyFont="1" applyBorder="1" applyAlignment="1">
      <alignment wrapText="1"/>
    </xf>
    <xf numFmtId="44" fontId="3" fillId="0" borderId="0" xfId="1" applyFont="1"/>
    <xf numFmtId="44" fontId="3" fillId="0" borderId="24" xfId="1" applyFont="1" applyBorder="1" applyAlignment="1">
      <alignment wrapText="1"/>
    </xf>
    <xf numFmtId="0" fontId="3" fillId="0" borderId="23" xfId="0" applyFont="1" applyBorder="1"/>
    <xf numFmtId="0" fontId="2" fillId="0" borderId="7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44" fontId="7" fillId="0" borderId="24" xfId="1" applyFont="1" applyBorder="1" applyAlignment="1">
      <alignment wrapText="1"/>
    </xf>
    <xf numFmtId="44" fontId="3" fillId="0" borderId="26" xfId="1" applyFont="1" applyBorder="1" applyAlignment="1">
      <alignment wrapText="1"/>
    </xf>
    <xf numFmtId="44" fontId="3" fillId="0" borderId="25" xfId="1" applyFont="1" applyBorder="1" applyAlignment="1">
      <alignment wrapText="1"/>
    </xf>
    <xf numFmtId="44" fontId="3" fillId="0" borderId="27" xfId="1" applyFont="1" applyBorder="1" applyAlignment="1">
      <alignment wrapText="1"/>
    </xf>
    <xf numFmtId="44" fontId="6" fillId="0" borderId="3" xfId="1" applyFont="1" applyFill="1" applyBorder="1" applyAlignment="1">
      <alignment horizontal="right"/>
    </xf>
    <xf numFmtId="44" fontId="6" fillId="0" borderId="16" xfId="1" applyFont="1" applyFill="1" applyBorder="1" applyAlignment="1">
      <alignment horizontal="right"/>
    </xf>
    <xf numFmtId="44" fontId="6" fillId="0" borderId="8" xfId="1" applyFont="1" applyFill="1" applyBorder="1" applyAlignment="1">
      <alignment horizontal="right"/>
    </xf>
    <xf numFmtId="44" fontId="6" fillId="0" borderId="7" xfId="1" applyFont="1" applyFill="1" applyBorder="1" applyAlignment="1">
      <alignment horizontal="right"/>
    </xf>
    <xf numFmtId="0" fontId="4" fillId="3" borderId="28" xfId="0" applyFont="1" applyFill="1" applyBorder="1" applyAlignment="1">
      <alignment horizontal="center" vertical="center" wrapText="1"/>
    </xf>
    <xf numFmtId="44" fontId="2" fillId="0" borderId="29" xfId="1" applyFont="1" applyBorder="1" applyAlignment="1">
      <alignment vertical="center" wrapText="1"/>
    </xf>
    <xf numFmtId="44" fontId="5" fillId="2" borderId="30" xfId="1" applyFont="1" applyFill="1" applyBorder="1" applyAlignment="1">
      <alignment horizontal="right"/>
    </xf>
    <xf numFmtId="44" fontId="3" fillId="0" borderId="31" xfId="1" applyFont="1" applyBorder="1" applyAlignment="1">
      <alignment wrapText="1"/>
    </xf>
    <xf numFmtId="44" fontId="5" fillId="2" borderId="31" xfId="1" applyFont="1" applyFill="1" applyBorder="1" applyAlignment="1">
      <alignment horizontal="right"/>
    </xf>
    <xf numFmtId="44" fontId="3" fillId="0" borderId="31" xfId="1" applyFont="1" applyBorder="1" applyAlignment="1">
      <alignment vertical="center" wrapText="1"/>
    </xf>
    <xf numFmtId="44" fontId="6" fillId="0" borderId="31" xfId="1" applyFont="1" applyFill="1" applyBorder="1" applyAlignment="1">
      <alignment horizontal="right"/>
    </xf>
    <xf numFmtId="44" fontId="3" fillId="0" borderId="32" xfId="1" applyFont="1" applyBorder="1" applyAlignment="1">
      <alignment wrapText="1"/>
    </xf>
    <xf numFmtId="44" fontId="3" fillId="0" borderId="33" xfId="1" applyFont="1" applyBorder="1" applyAlignment="1">
      <alignment wrapText="1"/>
    </xf>
    <xf numFmtId="44" fontId="2" fillId="0" borderId="34" xfId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4"/>
  <sheetViews>
    <sheetView showGridLines="0" tabSelected="1" zoomScale="80" zoomScaleNormal="80" workbookViewId="0">
      <pane xSplit="2" ySplit="3" topLeftCell="C4" activePane="bottomRight" state="frozen"/>
      <selection activeCell="B1" sqref="B1"/>
      <selection pane="topRight" activeCell="C1" sqref="C1"/>
      <selection pane="bottomLeft" activeCell="B4" sqref="B4"/>
      <selection pane="bottomRight" activeCell="O4" sqref="O4"/>
    </sheetView>
  </sheetViews>
  <sheetFormatPr baseColWidth="10" defaultColWidth="11.44140625" defaultRowHeight="13.8" x14ac:dyDescent="0.3"/>
  <cols>
    <col min="1" max="1" width="7.44140625" style="4" hidden="1" customWidth="1"/>
    <col min="2" max="2" width="35" style="4" customWidth="1"/>
    <col min="3" max="3" width="16.5546875" style="55" bestFit="1" customWidth="1"/>
    <col min="4" max="15" width="15.109375" style="4" bestFit="1" customWidth="1"/>
    <col min="16" max="16" width="15.5546875" style="4" hidden="1" customWidth="1"/>
    <col min="17" max="19" width="16.33203125" style="4" hidden="1" customWidth="1"/>
    <col min="20" max="31" width="0" style="4" hidden="1" customWidth="1"/>
    <col min="32" max="32" width="14.109375" style="4" hidden="1" customWidth="1"/>
    <col min="33" max="35" width="16.33203125" style="4" hidden="1" customWidth="1"/>
    <col min="36" max="48" width="0" style="4" hidden="1" customWidth="1"/>
    <col min="49" max="16384" width="11.44140625" style="4"/>
  </cols>
  <sheetData>
    <row r="1" spans="2:48" ht="23.25" customHeight="1" x14ac:dyDescent="0.3">
      <c r="B1" s="1"/>
      <c r="C1" s="78" t="s">
        <v>45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>
        <v>3.5000000000000003E-2</v>
      </c>
      <c r="R1" s="3">
        <v>0.03</v>
      </c>
      <c r="T1" s="78" t="s">
        <v>45</v>
      </c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2">
        <v>3.5000000000000003E-2</v>
      </c>
      <c r="AH1" s="2">
        <v>0.03</v>
      </c>
      <c r="AJ1" s="78" t="s">
        <v>45</v>
      </c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</row>
    <row r="2" spans="2:48" ht="19.5" customHeight="1" thickBot="1" x14ac:dyDescent="0.35">
      <c r="B2" s="5"/>
      <c r="C2" s="79" t="s">
        <v>77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T2" s="79" t="s">
        <v>50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1"/>
      <c r="AJ2" s="79" t="s">
        <v>51</v>
      </c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</row>
    <row r="3" spans="2:48" s="11" customFormat="1" ht="15" thickTop="1" thickBot="1" x14ac:dyDescent="0.35">
      <c r="B3" s="6"/>
      <c r="C3" s="7" t="s">
        <v>0</v>
      </c>
      <c r="D3" s="8" t="s">
        <v>1</v>
      </c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68" t="s">
        <v>12</v>
      </c>
      <c r="P3" s="68" t="s">
        <v>13</v>
      </c>
      <c r="Q3" s="11" t="s">
        <v>47</v>
      </c>
      <c r="R3" s="11" t="s">
        <v>46</v>
      </c>
      <c r="S3" s="11" t="s">
        <v>48</v>
      </c>
      <c r="T3" s="12" t="s">
        <v>1</v>
      </c>
      <c r="U3" s="8" t="s">
        <v>2</v>
      </c>
      <c r="V3" s="8" t="s">
        <v>3</v>
      </c>
      <c r="W3" s="8" t="s">
        <v>4</v>
      </c>
      <c r="X3" s="8" t="s">
        <v>5</v>
      </c>
      <c r="Y3" s="8" t="s">
        <v>6</v>
      </c>
      <c r="Z3" s="8" t="s">
        <v>7</v>
      </c>
      <c r="AA3" s="8" t="s">
        <v>8</v>
      </c>
      <c r="AB3" s="8" t="s">
        <v>9</v>
      </c>
      <c r="AC3" s="8" t="s">
        <v>10</v>
      </c>
      <c r="AD3" s="8" t="s">
        <v>11</v>
      </c>
      <c r="AE3" s="9" t="s">
        <v>12</v>
      </c>
      <c r="AF3" s="10" t="s">
        <v>13</v>
      </c>
      <c r="AG3" s="13" t="s">
        <v>47</v>
      </c>
      <c r="AH3" s="11" t="s">
        <v>46</v>
      </c>
      <c r="AI3" s="11" t="s">
        <v>49</v>
      </c>
      <c r="AJ3" s="12" t="s">
        <v>1</v>
      </c>
      <c r="AK3" s="8" t="s">
        <v>2</v>
      </c>
      <c r="AL3" s="8" t="s">
        <v>3</v>
      </c>
      <c r="AM3" s="8" t="s">
        <v>4</v>
      </c>
      <c r="AN3" s="8" t="s">
        <v>5</v>
      </c>
      <c r="AO3" s="8" t="s">
        <v>6</v>
      </c>
      <c r="AP3" s="8" t="s">
        <v>7</v>
      </c>
      <c r="AQ3" s="8" t="s">
        <v>8</v>
      </c>
      <c r="AR3" s="8" t="s">
        <v>9</v>
      </c>
      <c r="AS3" s="8" t="s">
        <v>10</v>
      </c>
      <c r="AT3" s="8" t="s">
        <v>11</v>
      </c>
      <c r="AU3" s="9" t="s">
        <v>12</v>
      </c>
      <c r="AV3" s="10" t="s">
        <v>13</v>
      </c>
    </row>
    <row r="4" spans="2:48" s="11" customFormat="1" ht="14.4" thickBot="1" x14ac:dyDescent="0.35">
      <c r="B4" s="14" t="s">
        <v>13</v>
      </c>
      <c r="C4" s="15">
        <f>SUM(C5,C15,C24,C31,C34,C39,C49,C55,C59,C60)</f>
        <v>504382035.40999997</v>
      </c>
      <c r="D4" s="15">
        <f t="shared" ref="D4:O4" si="0">SUM(D5,D15,D24,D31,D34,D39,D49,D55,D60)</f>
        <v>61033081.604787856</v>
      </c>
      <c r="E4" s="15">
        <f t="shared" si="0"/>
        <v>47349368.336386621</v>
      </c>
      <c r="F4" s="15">
        <f t="shared" si="0"/>
        <v>43253091.204312451</v>
      </c>
      <c r="G4" s="15">
        <f t="shared" si="0"/>
        <v>41442633.130881906</v>
      </c>
      <c r="H4" s="15">
        <f t="shared" si="0"/>
        <v>39884799.821776308</v>
      </c>
      <c r="I4" s="15">
        <f t="shared" si="0"/>
        <v>38563249.650096171</v>
      </c>
      <c r="J4" s="15">
        <f t="shared" si="0"/>
        <v>38872781.012577869</v>
      </c>
      <c r="K4" s="15">
        <f t="shared" si="0"/>
        <v>38355332.584763885</v>
      </c>
      <c r="L4" s="15">
        <f t="shared" si="0"/>
        <v>39157049.658734694</v>
      </c>
      <c r="M4" s="15">
        <f t="shared" si="0"/>
        <v>39757085.121417224</v>
      </c>
      <c r="N4" s="15">
        <f t="shared" si="0"/>
        <v>38143279.72101023</v>
      </c>
      <c r="O4" s="77">
        <f t="shared" si="0"/>
        <v>38570283.563254803</v>
      </c>
      <c r="P4" s="69">
        <f>SUM(D4:O4)</f>
        <v>504382035.40999997</v>
      </c>
      <c r="Q4" s="18">
        <f>SUM(Q5,Q15,Q24,Q31,Q34,Q39,Q49,Q55,Q59,Q60)</f>
        <v>17477498.914750006</v>
      </c>
      <c r="R4" s="18">
        <f>SUM(R5,R15,R24,R31,R34,R39,R49,R55,R59,R60)</f>
        <v>2215271.7854999998</v>
      </c>
      <c r="S4" s="18">
        <f>SUM(P4,Q4,R4)</f>
        <v>524074806.11024994</v>
      </c>
      <c r="T4" s="19">
        <f t="shared" ref="T4:AE4" si="1">SUM(T5,T15,T24,T31,T34,T39,T49,T55,T59,T60)</f>
        <v>63503083.421541587</v>
      </c>
      <c r="U4" s="15">
        <f t="shared" si="1"/>
        <v>48811680.69218152</v>
      </c>
      <c r="V4" s="15">
        <f t="shared" si="1"/>
        <v>44558086.649959147</v>
      </c>
      <c r="W4" s="15">
        <f t="shared" si="1"/>
        <v>42623238.156050317</v>
      </c>
      <c r="X4" s="15">
        <f t="shared" si="1"/>
        <v>40973843.175071754</v>
      </c>
      <c r="Y4" s="15">
        <f t="shared" si="1"/>
        <v>39616939.981302567</v>
      </c>
      <c r="Z4" s="15">
        <f t="shared" si="1"/>
        <v>39914430.783094533</v>
      </c>
      <c r="AA4" s="15">
        <f t="shared" si="1"/>
        <v>39395812.742591359</v>
      </c>
      <c r="AB4" s="15">
        <f t="shared" si="1"/>
        <v>40218698.519595228</v>
      </c>
      <c r="AC4" s="15">
        <f t="shared" si="1"/>
        <v>40828035.005340829</v>
      </c>
      <c r="AD4" s="15">
        <f t="shared" si="1"/>
        <v>39087455.331023268</v>
      </c>
      <c r="AE4" s="16">
        <f t="shared" si="1"/>
        <v>39499408.09249799</v>
      </c>
      <c r="AF4" s="17">
        <f>SUM(T4:AE4)</f>
        <v>519030712.55025011</v>
      </c>
      <c r="AG4" s="18">
        <f>SUM(AG5,AG15,AG24,AG31,AG34,AG39,AG49,AG55,AG59,AG60)</f>
        <v>18166074.939258754</v>
      </c>
      <c r="AH4" s="18">
        <f>SUM(AH5,AH15,AH24,AH31,AH34,AH39,AH49,AH55,AH59,AH60)</f>
        <v>2358689.3515574997</v>
      </c>
      <c r="AI4" s="18">
        <f>SUM(AF4,AG4,AH4)</f>
        <v>539555476.84106636</v>
      </c>
      <c r="AJ4" s="19">
        <f t="shared" ref="AJ4:AU4" si="2">SUM(AJ5,AJ15,AJ24,AJ31,AJ34,AJ39,AJ49,AJ55,AJ59,AJ60)</f>
        <v>66537560.595088542</v>
      </c>
      <c r="AK4" s="15">
        <f t="shared" si="2"/>
        <v>50758245.232813343</v>
      </c>
      <c r="AL4" s="15">
        <f t="shared" si="2"/>
        <v>46334330.85318692</v>
      </c>
      <c r="AM4" s="15">
        <f t="shared" si="2"/>
        <v>44258901.758444004</v>
      </c>
      <c r="AN4" s="15">
        <f t="shared" si="2"/>
        <v>42541298.079041377</v>
      </c>
      <c r="AO4" s="15">
        <f t="shared" si="2"/>
        <v>41117413.22096201</v>
      </c>
      <c r="AP4" s="15">
        <f t="shared" si="2"/>
        <v>41431534.818818569</v>
      </c>
      <c r="AQ4" s="15">
        <f t="shared" si="2"/>
        <v>40885507.716082297</v>
      </c>
      <c r="AR4" s="15">
        <f t="shared" si="2"/>
        <v>41739835.722868837</v>
      </c>
      <c r="AS4" s="15">
        <f t="shared" si="2"/>
        <v>42380991.033315316</v>
      </c>
      <c r="AT4" s="15">
        <f t="shared" si="2"/>
        <v>40573372.909597337</v>
      </c>
      <c r="AU4" s="16">
        <f t="shared" si="2"/>
        <v>40996484.900847763</v>
      </c>
      <c r="AV4" s="17">
        <f>SUM(AJ4:AU4)</f>
        <v>539555476.84106624</v>
      </c>
    </row>
    <row r="5" spans="2:48" s="26" customFormat="1" x14ac:dyDescent="0.3">
      <c r="B5" s="20" t="s">
        <v>14</v>
      </c>
      <c r="C5" s="21">
        <f>SUM(C6:C14)</f>
        <v>37634408.57</v>
      </c>
      <c r="D5" s="21">
        <f>SUM(D6:D14)</f>
        <v>20167635.191323187</v>
      </c>
      <c r="E5" s="21">
        <f t="shared" ref="E5:O5" si="3">SUM(E6:E14)</f>
        <v>4620124.3144206982</v>
      </c>
      <c r="F5" s="21">
        <f t="shared" si="3"/>
        <v>3388961.543195528</v>
      </c>
      <c r="G5" s="21">
        <f t="shared" si="3"/>
        <v>1707005.9132717852</v>
      </c>
      <c r="H5" s="21">
        <f t="shared" si="3"/>
        <v>1258422.1840674835</v>
      </c>
      <c r="I5" s="21">
        <f t="shared" si="3"/>
        <v>1143334.7461123469</v>
      </c>
      <c r="J5" s="21">
        <f t="shared" si="3"/>
        <v>942452.16325611435</v>
      </c>
      <c r="K5" s="21">
        <f t="shared" si="3"/>
        <v>820520.16394850984</v>
      </c>
      <c r="L5" s="21">
        <f t="shared" si="3"/>
        <v>869290.88261990563</v>
      </c>
      <c r="M5" s="21">
        <f t="shared" si="3"/>
        <v>979889.33724233368</v>
      </c>
      <c r="N5" s="21">
        <f t="shared" si="3"/>
        <v>924463.64837161335</v>
      </c>
      <c r="O5" s="23">
        <f t="shared" si="3"/>
        <v>812308.4821704959</v>
      </c>
      <c r="P5" s="70">
        <f t="shared" ref="P5:P63" si="4">SUM(D5:O5)</f>
        <v>37634408.57</v>
      </c>
      <c r="Q5" s="24">
        <f t="shared" ref="Q5:R5" si="5">SUM(Q6:Q14)</f>
        <v>1317204.2999500001</v>
      </c>
      <c r="R5" s="24">
        <f t="shared" si="5"/>
        <v>1129032.2571</v>
      </c>
      <c r="S5" s="24">
        <f t="shared" ref="S5:S63" si="6">SUM(P5,Q5,R5)</f>
        <v>40080645.127050005</v>
      </c>
      <c r="T5" s="25">
        <f t="shared" ref="T5:AE5" si="7">SUM(T6:T14)</f>
        <v>21478531.478759196</v>
      </c>
      <c r="U5" s="21">
        <f t="shared" si="7"/>
        <v>4920432.3948580436</v>
      </c>
      <c r="V5" s="21">
        <f t="shared" si="7"/>
        <v>3609244.043503237</v>
      </c>
      <c r="W5" s="21">
        <f t="shared" si="7"/>
        <v>1817961.2976344514</v>
      </c>
      <c r="X5" s="21">
        <f t="shared" si="7"/>
        <v>1340219.6260318703</v>
      </c>
      <c r="Y5" s="21">
        <f t="shared" si="7"/>
        <v>1217651.5046096493</v>
      </c>
      <c r="Z5" s="21">
        <f t="shared" si="7"/>
        <v>1003711.5538677617</v>
      </c>
      <c r="AA5" s="21">
        <f t="shared" si="7"/>
        <v>873853.97460516309</v>
      </c>
      <c r="AB5" s="21">
        <f t="shared" si="7"/>
        <v>925794.7899901995</v>
      </c>
      <c r="AC5" s="21">
        <f t="shared" si="7"/>
        <v>1043582.1441630854</v>
      </c>
      <c r="AD5" s="21">
        <f t="shared" si="7"/>
        <v>984553.78551576845</v>
      </c>
      <c r="AE5" s="22">
        <f t="shared" si="7"/>
        <v>865108.53351157822</v>
      </c>
      <c r="AF5" s="23">
        <f t="shared" ref="AF5:AF63" si="8">SUM(T5:AE5)</f>
        <v>40080645.12705002</v>
      </c>
      <c r="AG5" s="24">
        <f t="shared" ref="AG5:AH5" si="9">SUM(AG6:AG14)</f>
        <v>1402822.5794467502</v>
      </c>
      <c r="AH5" s="24">
        <f t="shared" si="9"/>
        <v>1202419.3538114999</v>
      </c>
      <c r="AI5" s="24">
        <f t="shared" ref="AI5:AI63" si="10">SUM(AF5,AG5,AH5)</f>
        <v>42685887.06030827</v>
      </c>
      <c r="AJ5" s="25">
        <f t="shared" ref="AJ5:AU5" si="11">SUM(AJ6:AJ14)</f>
        <v>22874636.024878539</v>
      </c>
      <c r="AK5" s="21">
        <f t="shared" si="11"/>
        <v>5240260.5005238168</v>
      </c>
      <c r="AL5" s="21">
        <f t="shared" si="11"/>
        <v>3843844.9063309473</v>
      </c>
      <c r="AM5" s="21">
        <f t="shared" si="11"/>
        <v>1936128.7819806908</v>
      </c>
      <c r="AN5" s="21">
        <f t="shared" si="11"/>
        <v>1427333.9017239418</v>
      </c>
      <c r="AO5" s="21">
        <f t="shared" si="11"/>
        <v>1296798.8524092766</v>
      </c>
      <c r="AP5" s="21">
        <f t="shared" si="11"/>
        <v>1068952.8048691661</v>
      </c>
      <c r="AQ5" s="21">
        <f t="shared" si="11"/>
        <v>930654.48295449873</v>
      </c>
      <c r="AR5" s="21">
        <f t="shared" si="11"/>
        <v>985971.45133956242</v>
      </c>
      <c r="AS5" s="21">
        <f t="shared" si="11"/>
        <v>1111414.9835336858</v>
      </c>
      <c r="AT5" s="21">
        <f t="shared" si="11"/>
        <v>1048549.7815742933</v>
      </c>
      <c r="AU5" s="22">
        <f t="shared" si="11"/>
        <v>921340.58818983065</v>
      </c>
      <c r="AV5" s="23">
        <f t="shared" ref="AV5:AV63" si="12">SUM(AJ5:AU5)</f>
        <v>42685887.060308263</v>
      </c>
    </row>
    <row r="6" spans="2:48" x14ac:dyDescent="0.3">
      <c r="B6" s="27" t="s">
        <v>15</v>
      </c>
      <c r="C6" s="28">
        <v>10500</v>
      </c>
      <c r="D6" s="29">
        <f>$C6/12</f>
        <v>875</v>
      </c>
      <c r="E6" s="29">
        <f t="shared" ref="E6:O8" si="13">$C6/12</f>
        <v>875</v>
      </c>
      <c r="F6" s="29">
        <f t="shared" si="13"/>
        <v>875</v>
      </c>
      <c r="G6" s="29">
        <f t="shared" si="13"/>
        <v>875</v>
      </c>
      <c r="H6" s="29">
        <f t="shared" si="13"/>
        <v>875</v>
      </c>
      <c r="I6" s="29">
        <f t="shared" si="13"/>
        <v>875</v>
      </c>
      <c r="J6" s="29">
        <f t="shared" si="13"/>
        <v>875</v>
      </c>
      <c r="K6" s="29">
        <f t="shared" si="13"/>
        <v>875</v>
      </c>
      <c r="L6" s="29">
        <f t="shared" si="13"/>
        <v>875</v>
      </c>
      <c r="M6" s="29">
        <f t="shared" si="13"/>
        <v>875</v>
      </c>
      <c r="N6" s="29">
        <f t="shared" si="13"/>
        <v>875</v>
      </c>
      <c r="O6" s="31">
        <f t="shared" si="13"/>
        <v>875</v>
      </c>
      <c r="P6" s="71">
        <f t="shared" si="4"/>
        <v>10500</v>
      </c>
      <c r="Q6" s="32">
        <f t="shared" ref="Q6:Q63" si="14">$Q$1*P6</f>
        <v>367.50000000000006</v>
      </c>
      <c r="R6" s="32">
        <f t="shared" ref="R6:R63" si="15">$R$1*P6</f>
        <v>315</v>
      </c>
      <c r="S6" s="32">
        <f t="shared" si="6"/>
        <v>11182.5</v>
      </c>
      <c r="T6" s="33">
        <f>$S6/12</f>
        <v>931.875</v>
      </c>
      <c r="U6" s="29">
        <f t="shared" ref="U6:AE8" si="16">$S6/12</f>
        <v>931.875</v>
      </c>
      <c r="V6" s="29">
        <f t="shared" si="16"/>
        <v>931.875</v>
      </c>
      <c r="W6" s="29">
        <f t="shared" si="16"/>
        <v>931.875</v>
      </c>
      <c r="X6" s="29">
        <f t="shared" si="16"/>
        <v>931.875</v>
      </c>
      <c r="Y6" s="29">
        <f t="shared" si="16"/>
        <v>931.875</v>
      </c>
      <c r="Z6" s="29">
        <f t="shared" si="16"/>
        <v>931.875</v>
      </c>
      <c r="AA6" s="29">
        <f t="shared" si="16"/>
        <v>931.875</v>
      </c>
      <c r="AB6" s="29">
        <f t="shared" si="16"/>
        <v>931.875</v>
      </c>
      <c r="AC6" s="29">
        <f t="shared" si="16"/>
        <v>931.875</v>
      </c>
      <c r="AD6" s="29">
        <f t="shared" si="16"/>
        <v>931.875</v>
      </c>
      <c r="AE6" s="30">
        <f t="shared" si="16"/>
        <v>931.875</v>
      </c>
      <c r="AF6" s="31">
        <f t="shared" si="8"/>
        <v>11182.5</v>
      </c>
      <c r="AG6" s="32">
        <f>AF6*$AG$1</f>
        <v>391.38750000000005</v>
      </c>
      <c r="AH6" s="32">
        <f>AF6*$AH$1</f>
        <v>335.47499999999997</v>
      </c>
      <c r="AI6" s="32">
        <f t="shared" si="10"/>
        <v>11909.362500000001</v>
      </c>
      <c r="AJ6" s="33">
        <f>$AI6/12</f>
        <v>992.44687500000009</v>
      </c>
      <c r="AK6" s="29">
        <f t="shared" ref="AK6:AU8" si="17">$AI6/12</f>
        <v>992.44687500000009</v>
      </c>
      <c r="AL6" s="29">
        <f t="shared" si="17"/>
        <v>992.44687500000009</v>
      </c>
      <c r="AM6" s="29">
        <f t="shared" si="17"/>
        <v>992.44687500000009</v>
      </c>
      <c r="AN6" s="29">
        <f t="shared" si="17"/>
        <v>992.44687500000009</v>
      </c>
      <c r="AO6" s="29">
        <f t="shared" si="17"/>
        <v>992.44687500000009</v>
      </c>
      <c r="AP6" s="29">
        <f t="shared" si="17"/>
        <v>992.44687500000009</v>
      </c>
      <c r="AQ6" s="29">
        <f t="shared" si="17"/>
        <v>992.44687500000009</v>
      </c>
      <c r="AR6" s="29">
        <f t="shared" si="17"/>
        <v>992.44687500000009</v>
      </c>
      <c r="AS6" s="29">
        <f t="shared" si="17"/>
        <v>992.44687500000009</v>
      </c>
      <c r="AT6" s="29">
        <f t="shared" si="17"/>
        <v>992.44687500000009</v>
      </c>
      <c r="AU6" s="30">
        <f t="shared" si="17"/>
        <v>992.44687500000009</v>
      </c>
      <c r="AV6" s="31">
        <f t="shared" si="12"/>
        <v>11909.362499999997</v>
      </c>
    </row>
    <row r="7" spans="2:48" x14ac:dyDescent="0.3">
      <c r="B7" s="27" t="s">
        <v>16</v>
      </c>
      <c r="C7" s="28">
        <v>25847942</v>
      </c>
      <c r="D7" s="29">
        <f>0.669710236184331*C7</f>
        <v>17310631.341698889</v>
      </c>
      <c r="E7" s="29">
        <f>0.130254479628862*C7</f>
        <v>3366810.2346870066</v>
      </c>
      <c r="F7" s="29">
        <f>0.0769591974225856*C7</f>
        <v>1989236.8713455421</v>
      </c>
      <c r="G7" s="29">
        <f>0.032277603292001*C7</f>
        <v>834309.61779065093</v>
      </c>
      <c r="H7" s="29">
        <f>0.0206445437982008*C7</f>
        <v>533618.97071235394</v>
      </c>
      <c r="I7" s="29">
        <f>0.0137284251771255*C7</f>
        <v>354851.53772967967</v>
      </c>
      <c r="J7" s="29">
        <f>0.012136801533116*C7</f>
        <v>313711.34209349344</v>
      </c>
      <c r="K7" s="29">
        <f>0.0106429869733893*C7</f>
        <v>275099.30999492219</v>
      </c>
      <c r="L7" s="29">
        <f>0.00771262577216011*C7</f>
        <v>199355.50362649973</v>
      </c>
      <c r="M7" s="29">
        <f>0.0120402293089428*C7</f>
        <v>311215.14884425356</v>
      </c>
      <c r="N7" s="29">
        <f>0.0107851999831839*C7</f>
        <v>278775.22362373839</v>
      </c>
      <c r="O7" s="31">
        <f>0.00310767092610205*C7</f>
        <v>80326.897852972077</v>
      </c>
      <c r="P7" s="71">
        <f t="shared" si="4"/>
        <v>25847942</v>
      </c>
      <c r="Q7" s="32">
        <f t="shared" si="14"/>
        <v>904677.97000000009</v>
      </c>
      <c r="R7" s="32">
        <f t="shared" si="15"/>
        <v>775438.26</v>
      </c>
      <c r="S7" s="32">
        <f t="shared" si="6"/>
        <v>27528058.23</v>
      </c>
      <c r="T7" s="33">
        <f>(D7/$P7)*$S7</f>
        <v>18435822.378909316</v>
      </c>
      <c r="U7" s="29">
        <f t="shared" ref="U7:AE7" si="18">(E7/$P7)*$S7</f>
        <v>3585652.8999416619</v>
      </c>
      <c r="V7" s="29">
        <f t="shared" si="18"/>
        <v>2118537.2679830021</v>
      </c>
      <c r="W7" s="29">
        <f t="shared" si="18"/>
        <v>888539.74294704327</v>
      </c>
      <c r="X7" s="29">
        <f t="shared" si="18"/>
        <v>568304.20380865701</v>
      </c>
      <c r="Y7" s="29">
        <f t="shared" si="18"/>
        <v>377916.88768210885</v>
      </c>
      <c r="Z7" s="29">
        <f t="shared" si="18"/>
        <v>334102.57932957052</v>
      </c>
      <c r="AA7" s="29">
        <f t="shared" si="18"/>
        <v>292980.76514459215</v>
      </c>
      <c r="AB7" s="29">
        <f t="shared" si="18"/>
        <v>212313.61136222223</v>
      </c>
      <c r="AC7" s="29">
        <f t="shared" si="18"/>
        <v>331444.13351913006</v>
      </c>
      <c r="AD7" s="29">
        <f t="shared" si="18"/>
        <v>296895.61315928143</v>
      </c>
      <c r="AE7" s="30">
        <f t="shared" si="18"/>
        <v>85548.146213415253</v>
      </c>
      <c r="AF7" s="31">
        <f t="shared" si="8"/>
        <v>27528058.229999997</v>
      </c>
      <c r="AG7" s="32">
        <f>AF7*$AG$1</f>
        <v>963482.03804999997</v>
      </c>
      <c r="AH7" s="32">
        <f>AF7*$AH$1</f>
        <v>825841.74689999991</v>
      </c>
      <c r="AI7" s="32">
        <f t="shared" si="10"/>
        <v>29317382.014949996</v>
      </c>
      <c r="AJ7" s="33">
        <f>(T7/$AF7)*$AI7</f>
        <v>19634150.83353842</v>
      </c>
      <c r="AK7" s="29">
        <f t="shared" ref="AK7:AU7" si="19">(U7/$AF7)*$AI7</f>
        <v>3818720.3384378701</v>
      </c>
      <c r="AL7" s="29">
        <f t="shared" si="19"/>
        <v>2256242.1904018973</v>
      </c>
      <c r="AM7" s="29">
        <f t="shared" si="19"/>
        <v>946294.82623860112</v>
      </c>
      <c r="AN7" s="29">
        <f t="shared" si="19"/>
        <v>605243.97705621971</v>
      </c>
      <c r="AO7" s="29">
        <f t="shared" si="19"/>
        <v>402481.48538144591</v>
      </c>
      <c r="AP7" s="29">
        <f t="shared" si="19"/>
        <v>355819.24698599259</v>
      </c>
      <c r="AQ7" s="29">
        <f t="shared" si="19"/>
        <v>312024.51487899065</v>
      </c>
      <c r="AR7" s="29">
        <f t="shared" si="19"/>
        <v>226113.99610076667</v>
      </c>
      <c r="AS7" s="29">
        <f t="shared" si="19"/>
        <v>352988.00219787349</v>
      </c>
      <c r="AT7" s="29">
        <f t="shared" si="19"/>
        <v>316193.82801463472</v>
      </c>
      <c r="AU7" s="30">
        <f t="shared" si="19"/>
        <v>91108.775717287237</v>
      </c>
      <c r="AV7" s="31">
        <f t="shared" si="12"/>
        <v>29317382.014950007</v>
      </c>
    </row>
    <row r="8" spans="2:48" ht="27.6" x14ac:dyDescent="0.3">
      <c r="B8" s="27" t="s">
        <v>17</v>
      </c>
      <c r="C8" s="28">
        <v>3371033.19</v>
      </c>
      <c r="D8" s="29">
        <f>$C8/12</f>
        <v>280919.4325</v>
      </c>
      <c r="E8" s="29">
        <f t="shared" si="13"/>
        <v>280919.4325</v>
      </c>
      <c r="F8" s="29">
        <f t="shared" si="13"/>
        <v>280919.4325</v>
      </c>
      <c r="G8" s="29">
        <f t="shared" si="13"/>
        <v>280919.4325</v>
      </c>
      <c r="H8" s="29">
        <f t="shared" si="13"/>
        <v>280919.4325</v>
      </c>
      <c r="I8" s="29">
        <f t="shared" si="13"/>
        <v>280919.4325</v>
      </c>
      <c r="J8" s="29">
        <f t="shared" si="13"/>
        <v>280919.4325</v>
      </c>
      <c r="K8" s="29">
        <f t="shared" si="13"/>
        <v>280919.4325</v>
      </c>
      <c r="L8" s="29">
        <f t="shared" si="13"/>
        <v>280919.4325</v>
      </c>
      <c r="M8" s="29">
        <f t="shared" si="13"/>
        <v>280919.4325</v>
      </c>
      <c r="N8" s="29">
        <f t="shared" si="13"/>
        <v>280919.4325</v>
      </c>
      <c r="O8" s="31">
        <f t="shared" si="13"/>
        <v>280919.4325</v>
      </c>
      <c r="P8" s="71">
        <f t="shared" si="4"/>
        <v>3371033.1900000009</v>
      </c>
      <c r="Q8" s="32">
        <f t="shared" si="14"/>
        <v>117986.16165000004</v>
      </c>
      <c r="R8" s="32">
        <f t="shared" si="15"/>
        <v>101130.99570000003</v>
      </c>
      <c r="S8" s="32">
        <f t="shared" si="6"/>
        <v>3590150.3473500009</v>
      </c>
      <c r="T8" s="33">
        <f>$S8/12</f>
        <v>299179.19561250007</v>
      </c>
      <c r="U8" s="29">
        <f t="shared" si="16"/>
        <v>299179.19561250007</v>
      </c>
      <c r="V8" s="29">
        <f t="shared" si="16"/>
        <v>299179.19561250007</v>
      </c>
      <c r="W8" s="29">
        <f t="shared" si="16"/>
        <v>299179.19561250007</v>
      </c>
      <c r="X8" s="29">
        <f t="shared" si="16"/>
        <v>299179.19561250007</v>
      </c>
      <c r="Y8" s="29">
        <f t="shared" si="16"/>
        <v>299179.19561250007</v>
      </c>
      <c r="Z8" s="29">
        <f t="shared" si="16"/>
        <v>299179.19561250007</v>
      </c>
      <c r="AA8" s="29">
        <f t="shared" si="16"/>
        <v>299179.19561250007</v>
      </c>
      <c r="AB8" s="29">
        <f t="shared" si="16"/>
        <v>299179.19561250007</v>
      </c>
      <c r="AC8" s="29">
        <f t="shared" si="16"/>
        <v>299179.19561250007</v>
      </c>
      <c r="AD8" s="29">
        <f t="shared" si="16"/>
        <v>299179.19561250007</v>
      </c>
      <c r="AE8" s="30">
        <f t="shared" si="16"/>
        <v>299179.19561250007</v>
      </c>
      <c r="AF8" s="31">
        <f t="shared" si="8"/>
        <v>3590150.3473499999</v>
      </c>
      <c r="AG8" s="32">
        <f>AF8*$AG$1</f>
        <v>125655.26215725001</v>
      </c>
      <c r="AH8" s="32">
        <f>AF8*$AH$1</f>
        <v>107704.5104205</v>
      </c>
      <c r="AI8" s="32">
        <f t="shared" si="10"/>
        <v>3823510.11992775</v>
      </c>
      <c r="AJ8" s="33">
        <f>$AI8/12</f>
        <v>318625.8433273125</v>
      </c>
      <c r="AK8" s="29">
        <f t="shared" si="17"/>
        <v>318625.8433273125</v>
      </c>
      <c r="AL8" s="29">
        <f t="shared" si="17"/>
        <v>318625.8433273125</v>
      </c>
      <c r="AM8" s="29">
        <f t="shared" si="17"/>
        <v>318625.8433273125</v>
      </c>
      <c r="AN8" s="29">
        <f t="shared" si="17"/>
        <v>318625.8433273125</v>
      </c>
      <c r="AO8" s="29">
        <f t="shared" si="17"/>
        <v>318625.8433273125</v>
      </c>
      <c r="AP8" s="29">
        <f t="shared" si="17"/>
        <v>318625.8433273125</v>
      </c>
      <c r="AQ8" s="29">
        <f t="shared" si="17"/>
        <v>318625.8433273125</v>
      </c>
      <c r="AR8" s="29">
        <f t="shared" si="17"/>
        <v>318625.8433273125</v>
      </c>
      <c r="AS8" s="29">
        <f t="shared" si="17"/>
        <v>318625.8433273125</v>
      </c>
      <c r="AT8" s="29">
        <f t="shared" si="17"/>
        <v>318625.8433273125</v>
      </c>
      <c r="AU8" s="30">
        <f t="shared" si="17"/>
        <v>318625.8433273125</v>
      </c>
      <c r="AV8" s="31">
        <f t="shared" si="12"/>
        <v>3823510.1199277509</v>
      </c>
    </row>
    <row r="9" spans="2:48" x14ac:dyDescent="0.3">
      <c r="B9" s="27" t="s">
        <v>18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31">
        <v>0</v>
      </c>
      <c r="P9" s="71">
        <f t="shared" si="4"/>
        <v>0</v>
      </c>
      <c r="Q9" s="32">
        <f t="shared" si="14"/>
        <v>0</v>
      </c>
      <c r="R9" s="32">
        <f t="shared" si="15"/>
        <v>0</v>
      </c>
      <c r="S9" s="32">
        <f t="shared" si="6"/>
        <v>0</v>
      </c>
      <c r="T9" s="33"/>
      <c r="U9" s="29"/>
      <c r="V9" s="29"/>
      <c r="W9" s="29"/>
      <c r="X9" s="29"/>
      <c r="Y9" s="29"/>
      <c r="Z9" s="29"/>
      <c r="AA9" s="29"/>
      <c r="AB9" s="29"/>
      <c r="AC9" s="29"/>
      <c r="AD9" s="29"/>
      <c r="AE9" s="30"/>
      <c r="AF9" s="31">
        <f t="shared" si="8"/>
        <v>0</v>
      </c>
      <c r="AG9" s="32"/>
      <c r="AH9" s="32"/>
      <c r="AI9" s="32">
        <f t="shared" si="10"/>
        <v>0</v>
      </c>
      <c r="AJ9" s="33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30"/>
      <c r="AV9" s="31">
        <f t="shared" si="12"/>
        <v>0</v>
      </c>
    </row>
    <row r="10" spans="2:48" x14ac:dyDescent="0.3">
      <c r="B10" s="27" t="s">
        <v>19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31">
        <v>0</v>
      </c>
      <c r="P10" s="71">
        <f t="shared" si="4"/>
        <v>0</v>
      </c>
      <c r="Q10" s="32">
        <f t="shared" si="14"/>
        <v>0</v>
      </c>
      <c r="R10" s="32">
        <f t="shared" si="15"/>
        <v>0</v>
      </c>
      <c r="S10" s="32">
        <f t="shared" si="6"/>
        <v>0</v>
      </c>
      <c r="T10" s="33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30"/>
      <c r="AF10" s="31">
        <f t="shared" si="8"/>
        <v>0</v>
      </c>
      <c r="AG10" s="32"/>
      <c r="AH10" s="32"/>
      <c r="AI10" s="32">
        <f t="shared" si="10"/>
        <v>0</v>
      </c>
      <c r="AJ10" s="33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30"/>
      <c r="AV10" s="31">
        <f t="shared" si="12"/>
        <v>0</v>
      </c>
    </row>
    <row r="11" spans="2:48" x14ac:dyDescent="0.3">
      <c r="B11" s="27" t="s">
        <v>20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31">
        <v>0</v>
      </c>
      <c r="P11" s="71">
        <f t="shared" si="4"/>
        <v>0</v>
      </c>
      <c r="Q11" s="32">
        <f t="shared" si="14"/>
        <v>0</v>
      </c>
      <c r="R11" s="32">
        <f t="shared" si="15"/>
        <v>0</v>
      </c>
      <c r="S11" s="32">
        <f t="shared" si="6"/>
        <v>0</v>
      </c>
      <c r="T11" s="33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30"/>
      <c r="AF11" s="31">
        <f t="shared" si="8"/>
        <v>0</v>
      </c>
      <c r="AG11" s="32"/>
      <c r="AH11" s="32"/>
      <c r="AI11" s="32">
        <f t="shared" si="10"/>
        <v>0</v>
      </c>
      <c r="AJ11" s="33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30"/>
      <c r="AV11" s="31">
        <f t="shared" si="12"/>
        <v>0</v>
      </c>
    </row>
    <row r="12" spans="2:48" x14ac:dyDescent="0.3">
      <c r="B12" s="27" t="s">
        <v>21</v>
      </c>
      <c r="C12" s="28">
        <v>3208104.63</v>
      </c>
      <c r="D12" s="29">
        <f>0.304006311946927*C12</f>
        <v>975284.05690616078</v>
      </c>
      <c r="E12" s="29">
        <f>0.118634926500462*C12</f>
        <v>380593.25698584184</v>
      </c>
      <c r="F12" s="29">
        <f>0.127689872818682*C12</f>
        <v>409642.47219372483</v>
      </c>
      <c r="G12" s="29">
        <f>0.0772355976096721*C12</f>
        <v>247779.87829240598</v>
      </c>
      <c r="H12" s="29">
        <f>0.0523254756764361*C12</f>
        <v>167865.60078452702</v>
      </c>
      <c r="I12" s="29">
        <f>0.0638764500787203*C12</f>
        <v>204922.33524550643</v>
      </c>
      <c r="J12" s="29">
        <f>0.0373110842009624*C12</f>
        <v>119697.86197542732</v>
      </c>
      <c r="K12" s="29">
        <f>0.0408103463829236*C12</f>
        <v>130923.86118296094</v>
      </c>
      <c r="L12" s="29">
        <f>0.0499240305627856*C12</f>
        <v>160161.51359673397</v>
      </c>
      <c r="M12" s="29">
        <f>0.0458186932391444*C12</f>
        <v>146991.16192104883</v>
      </c>
      <c r="N12" s="29">
        <f>0.0402562858137536*C12</f>
        <v>129146.37690570625</v>
      </c>
      <c r="O12" s="31">
        <f>0.0421109251695309*C12</f>
        <v>135096.25400995559</v>
      </c>
      <c r="P12" s="71">
        <f t="shared" si="4"/>
        <v>3208104.6300000004</v>
      </c>
      <c r="Q12" s="32">
        <f t="shared" si="14"/>
        <v>112283.66205000003</v>
      </c>
      <c r="R12" s="32">
        <f t="shared" si="15"/>
        <v>96243.138900000005</v>
      </c>
      <c r="S12" s="32">
        <f t="shared" si="6"/>
        <v>3416631.4309500004</v>
      </c>
      <c r="T12" s="33">
        <f>(D12/$P12)*$S12</f>
        <v>1038677.5206050612</v>
      </c>
      <c r="U12" s="29">
        <f t="shared" ref="U12" si="20">(E12/$P12)*$S12</f>
        <v>405331.81868992158</v>
      </c>
      <c r="V12" s="29">
        <f t="shared" ref="V12" si="21">(F12/$P12)*$S12</f>
        <v>436269.23288631695</v>
      </c>
      <c r="W12" s="29">
        <f t="shared" ref="W12" si="22">(G12/$P12)*$S12</f>
        <v>263885.57038141234</v>
      </c>
      <c r="X12" s="29">
        <f t="shared" ref="X12" si="23">(H12/$P12)*$S12</f>
        <v>178776.86483552129</v>
      </c>
      <c r="Y12" s="29">
        <f t="shared" ref="Y12" si="24">(I12/$P12)*$S12</f>
        <v>218242.28703646435</v>
      </c>
      <c r="Z12" s="29">
        <f t="shared" ref="Z12" si="25">(J12/$P12)*$S12</f>
        <v>127478.22300383009</v>
      </c>
      <c r="AA12" s="29">
        <f t="shared" ref="AA12" si="26">(K12/$P12)*$S12</f>
        <v>139433.91215985341</v>
      </c>
      <c r="AB12" s="29">
        <f t="shared" ref="AB12" si="27">(L12/$P12)*$S12</f>
        <v>170572.0119805217</v>
      </c>
      <c r="AC12" s="29">
        <f t="shared" ref="AC12" si="28">(M12/$P12)*$S12</f>
        <v>156545.58744591702</v>
      </c>
      <c r="AD12" s="29">
        <f t="shared" ref="AD12" si="29">(N12/$P12)*$S12</f>
        <v>137540.89140457715</v>
      </c>
      <c r="AE12" s="30">
        <f t="shared" ref="AE12" si="30">(O12/$P12)*$S12</f>
        <v>143877.51052060272</v>
      </c>
      <c r="AF12" s="31">
        <f t="shared" si="8"/>
        <v>3416631.43095</v>
      </c>
      <c r="AG12" s="32">
        <f>AF12*$AG$1</f>
        <v>119582.10008325001</v>
      </c>
      <c r="AH12" s="32">
        <f>AF12*$AH$1</f>
        <v>102498.94292849999</v>
      </c>
      <c r="AI12" s="32">
        <f t="shared" si="10"/>
        <v>3638712.47396175</v>
      </c>
      <c r="AJ12" s="33">
        <f>(T12/$AF12)*$AI12</f>
        <v>1106191.5594443902</v>
      </c>
      <c r="AK12" s="29">
        <f t="shared" ref="AK12" si="31">(U12/$AF12)*$AI12</f>
        <v>431678.38690476649</v>
      </c>
      <c r="AL12" s="29">
        <f t="shared" ref="AL12" si="32">(V12/$AF12)*$AI12</f>
        <v>464626.73302392761</v>
      </c>
      <c r="AM12" s="29">
        <f t="shared" ref="AM12" si="33">(W12/$AF12)*$AI12</f>
        <v>281038.13245620416</v>
      </c>
      <c r="AN12" s="29">
        <f t="shared" ref="AN12" si="34">(X12/$AF12)*$AI12</f>
        <v>190397.36104983019</v>
      </c>
      <c r="AO12" s="29">
        <f t="shared" ref="AO12" si="35">(Y12/$AF12)*$AI12</f>
        <v>232428.03569383454</v>
      </c>
      <c r="AP12" s="29">
        <f t="shared" ref="AP12" si="36">(Z12/$AF12)*$AI12</f>
        <v>135764.30749907906</v>
      </c>
      <c r="AQ12" s="29">
        <f t="shared" ref="AQ12" si="37">(AA12/$AF12)*$AI12</f>
        <v>148497.11645024389</v>
      </c>
      <c r="AR12" s="29">
        <f t="shared" ref="AR12" si="38">(AB12/$AF12)*$AI12</f>
        <v>181659.19275925559</v>
      </c>
      <c r="AS12" s="29">
        <f t="shared" ref="AS12" si="39">(AC12/$AF12)*$AI12</f>
        <v>166721.05062990164</v>
      </c>
      <c r="AT12" s="29">
        <f t="shared" ref="AT12" si="40">(AD12/$AF12)*$AI12</f>
        <v>146481.04934587466</v>
      </c>
      <c r="AU12" s="30">
        <f t="shared" ref="AU12" si="41">(AE12/$AF12)*$AI12</f>
        <v>153229.5487044419</v>
      </c>
      <c r="AV12" s="31">
        <f t="shared" si="12"/>
        <v>3638712.47396175</v>
      </c>
    </row>
    <row r="13" spans="2:48" x14ac:dyDescent="0.3">
      <c r="B13" s="27" t="s">
        <v>22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31">
        <v>0</v>
      </c>
      <c r="P13" s="71">
        <f t="shared" si="4"/>
        <v>0</v>
      </c>
      <c r="Q13" s="32">
        <f t="shared" si="14"/>
        <v>0</v>
      </c>
      <c r="R13" s="32">
        <f t="shared" si="15"/>
        <v>0</v>
      </c>
      <c r="S13" s="32">
        <f t="shared" si="6"/>
        <v>0</v>
      </c>
      <c r="T13" s="33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0"/>
      <c r="AF13" s="31">
        <f t="shared" si="8"/>
        <v>0</v>
      </c>
      <c r="AG13" s="32"/>
      <c r="AH13" s="32"/>
      <c r="AI13" s="32">
        <f t="shared" si="10"/>
        <v>0</v>
      </c>
      <c r="AJ13" s="33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30"/>
      <c r="AV13" s="31">
        <f t="shared" si="12"/>
        <v>0</v>
      </c>
    </row>
    <row r="14" spans="2:48" ht="55.2" x14ac:dyDescent="0.3">
      <c r="B14" s="27" t="s">
        <v>54</v>
      </c>
      <c r="C14" s="28">
        <v>5196828.75</v>
      </c>
      <c r="D14" s="29">
        <f>0.307865707566011*C14</f>
        <v>1599925.3602181384</v>
      </c>
      <c r="E14" s="29">
        <f>0.113709036544229*C14</f>
        <v>590926.39024784986</v>
      </c>
      <c r="F14" s="29">
        <f>0.136292304639875*C14</f>
        <v>708287.76715626079</v>
      </c>
      <c r="G14" s="29">
        <f>0.0660252629430455*C14</f>
        <v>343121.98468872847</v>
      </c>
      <c r="H14" s="29">
        <f>0.0529444384848361*C14</f>
        <v>275143.18007060268</v>
      </c>
      <c r="I14" s="29">
        <f>0.0580674205662753*C14</f>
        <v>301766.44063716073</v>
      </c>
      <c r="J14" s="29">
        <f>0.0437283077082718*C14</f>
        <v>227248.52668719352</v>
      </c>
      <c r="K14" s="29">
        <f>0.025535295976537*C14</f>
        <v>132702.5602706268</v>
      </c>
      <c r="L14" s="29">
        <f>0.0438689523676669*C14</f>
        <v>227979.4328966719</v>
      </c>
      <c r="M14" s="29">
        <f>0.0461605732105433*C14</f>
        <v>239888.59397703124</v>
      </c>
      <c r="N14" s="29">
        <f>0.0451713201713966*C14</f>
        <v>234747.61534216878</v>
      </c>
      <c r="O14" s="31">
        <f>0.0606313798213128*C14</f>
        <v>315090.89780756825</v>
      </c>
      <c r="P14" s="71">
        <f t="shared" si="4"/>
        <v>5196828.7500000019</v>
      </c>
      <c r="Q14" s="32">
        <f t="shared" si="14"/>
        <v>181889.00625000009</v>
      </c>
      <c r="R14" s="32">
        <f t="shared" si="15"/>
        <v>155904.86250000005</v>
      </c>
      <c r="S14" s="32">
        <f t="shared" si="6"/>
        <v>5534622.6187500013</v>
      </c>
      <c r="T14" s="33">
        <f>(D14/$P14)*$S14</f>
        <v>1703920.5086323172</v>
      </c>
      <c r="U14" s="29">
        <f t="shared" ref="U14" si="42">(E14/$P14)*$S14</f>
        <v>629336.60561396007</v>
      </c>
      <c r="V14" s="29">
        <f t="shared" ref="V14" si="43">(F14/$P14)*$S14</f>
        <v>754326.47202141769</v>
      </c>
      <c r="W14" s="29">
        <f t="shared" ref="W14" si="44">(G14/$P14)*$S14</f>
        <v>365424.91369349579</v>
      </c>
      <c r="X14" s="29">
        <f t="shared" ref="X14" si="45">(H14/$P14)*$S14</f>
        <v>293027.48677519185</v>
      </c>
      <c r="Y14" s="29">
        <f t="shared" ref="Y14" si="46">(I14/$P14)*$S14</f>
        <v>321381.25927857612</v>
      </c>
      <c r="Z14" s="29">
        <f t="shared" ref="Z14" si="47">(J14/$P14)*$S14</f>
        <v>242019.68092186109</v>
      </c>
      <c r="AA14" s="29">
        <f t="shared" ref="AA14" si="48">(K14/$P14)*$S14</f>
        <v>141328.22668821752</v>
      </c>
      <c r="AB14" s="29">
        <f t="shared" ref="AB14" si="49">(L14/$P14)*$S14</f>
        <v>242798.09603495552</v>
      </c>
      <c r="AC14" s="29">
        <f t="shared" ref="AC14" si="50">(M14/$P14)*$S14</f>
        <v>255481.35258553823</v>
      </c>
      <c r="AD14" s="29">
        <f t="shared" ref="AD14" si="51">(N14/$P14)*$S14</f>
        <v>250006.21033940974</v>
      </c>
      <c r="AE14" s="30">
        <f t="shared" ref="AE14" si="52">(O14/$P14)*$S14</f>
        <v>335571.80616506014</v>
      </c>
      <c r="AF14" s="31">
        <f t="shared" si="8"/>
        <v>5534622.6187500004</v>
      </c>
      <c r="AG14" s="32">
        <f>AF14*$AG$1</f>
        <v>193711.79165625002</v>
      </c>
      <c r="AH14" s="32">
        <f>AF14*$AH$1</f>
        <v>166038.67856250002</v>
      </c>
      <c r="AI14" s="32">
        <f t="shared" si="10"/>
        <v>5894373.0889687501</v>
      </c>
      <c r="AJ14" s="33">
        <f>(T14/$AF14)*$AI14</f>
        <v>1814675.3416934179</v>
      </c>
      <c r="AK14" s="29">
        <f t="shared" ref="AK14" si="53">(U14/$AF14)*$AI14</f>
        <v>670243.48497886746</v>
      </c>
      <c r="AL14" s="29">
        <f t="shared" ref="AL14" si="54">(V14/$AF14)*$AI14</f>
        <v>803357.69270280981</v>
      </c>
      <c r="AM14" s="29">
        <f t="shared" ref="AM14" si="55">(W14/$AF14)*$AI14</f>
        <v>389177.53308357298</v>
      </c>
      <c r="AN14" s="29">
        <f t="shared" ref="AN14" si="56">(X14/$AF14)*$AI14</f>
        <v>312074.27341557934</v>
      </c>
      <c r="AO14" s="29">
        <f t="shared" ref="AO14" si="57">(Y14/$AF14)*$AI14</f>
        <v>342271.04113168357</v>
      </c>
      <c r="AP14" s="29">
        <f t="shared" ref="AP14" si="58">(Z14/$AF14)*$AI14</f>
        <v>257750.96018178202</v>
      </c>
      <c r="AQ14" s="29">
        <f t="shared" ref="AQ14" si="59">(AA14/$AF14)*$AI14</f>
        <v>150514.56142295167</v>
      </c>
      <c r="AR14" s="29">
        <f t="shared" ref="AR14" si="60">(AB14/$AF14)*$AI14</f>
        <v>258579.97227722761</v>
      </c>
      <c r="AS14" s="29">
        <f t="shared" ref="AS14" si="61">(AC14/$AF14)*$AI14</f>
        <v>272087.6405035982</v>
      </c>
      <c r="AT14" s="29">
        <f t="shared" ref="AT14" si="62">(AD14/$AF14)*$AI14</f>
        <v>266256.61401147133</v>
      </c>
      <c r="AU14" s="30">
        <f t="shared" ref="AU14" si="63">(AE14/$AF14)*$AI14</f>
        <v>357383.97356578906</v>
      </c>
      <c r="AV14" s="31">
        <f t="shared" si="12"/>
        <v>5894373.088968751</v>
      </c>
    </row>
    <row r="15" spans="2:48" s="26" customFormat="1" x14ac:dyDescent="0.3">
      <c r="B15" s="34" t="s">
        <v>23</v>
      </c>
      <c r="C15" s="35">
        <f>SUM(C16:C23)</f>
        <v>0</v>
      </c>
      <c r="D15" s="35">
        <f>SUM(D16:D23)</f>
        <v>0</v>
      </c>
      <c r="E15" s="35">
        <f t="shared" ref="E15:R15" si="64">SUM(E16:E23)</f>
        <v>0</v>
      </c>
      <c r="F15" s="35">
        <f t="shared" si="64"/>
        <v>0</v>
      </c>
      <c r="G15" s="35">
        <f t="shared" si="64"/>
        <v>0</v>
      </c>
      <c r="H15" s="35">
        <f t="shared" si="64"/>
        <v>0</v>
      </c>
      <c r="I15" s="35">
        <f t="shared" si="64"/>
        <v>0</v>
      </c>
      <c r="J15" s="35">
        <f t="shared" si="64"/>
        <v>0</v>
      </c>
      <c r="K15" s="35">
        <f t="shared" si="64"/>
        <v>0</v>
      </c>
      <c r="L15" s="35">
        <f t="shared" si="64"/>
        <v>0</v>
      </c>
      <c r="M15" s="35">
        <f t="shared" si="64"/>
        <v>0</v>
      </c>
      <c r="N15" s="35">
        <f t="shared" si="64"/>
        <v>0</v>
      </c>
      <c r="O15" s="37">
        <f t="shared" si="64"/>
        <v>0</v>
      </c>
      <c r="P15" s="72">
        <f t="shared" si="4"/>
        <v>0</v>
      </c>
      <c r="Q15" s="24">
        <f t="shared" si="64"/>
        <v>0</v>
      </c>
      <c r="R15" s="24">
        <f t="shared" si="64"/>
        <v>0</v>
      </c>
      <c r="S15" s="24">
        <f t="shared" si="6"/>
        <v>0</v>
      </c>
      <c r="T15" s="38">
        <f t="shared" ref="T15:AE15" si="65">SUM(T16:T23)</f>
        <v>0</v>
      </c>
      <c r="U15" s="35">
        <f t="shared" si="65"/>
        <v>0</v>
      </c>
      <c r="V15" s="35">
        <f t="shared" si="65"/>
        <v>0</v>
      </c>
      <c r="W15" s="35">
        <f t="shared" si="65"/>
        <v>0</v>
      </c>
      <c r="X15" s="35">
        <f t="shared" si="65"/>
        <v>0</v>
      </c>
      <c r="Y15" s="35">
        <f t="shared" si="65"/>
        <v>0</v>
      </c>
      <c r="Z15" s="35">
        <f t="shared" si="65"/>
        <v>0</v>
      </c>
      <c r="AA15" s="35">
        <f t="shared" si="65"/>
        <v>0</v>
      </c>
      <c r="AB15" s="35">
        <f t="shared" si="65"/>
        <v>0</v>
      </c>
      <c r="AC15" s="35">
        <f t="shared" si="65"/>
        <v>0</v>
      </c>
      <c r="AD15" s="35">
        <f t="shared" si="65"/>
        <v>0</v>
      </c>
      <c r="AE15" s="36">
        <f t="shared" si="65"/>
        <v>0</v>
      </c>
      <c r="AF15" s="37">
        <f t="shared" si="8"/>
        <v>0</v>
      </c>
      <c r="AG15" s="24">
        <f t="shared" ref="AG15:AH15" si="66">SUM(AG16:AG23)</f>
        <v>0</v>
      </c>
      <c r="AH15" s="24">
        <f t="shared" si="66"/>
        <v>0</v>
      </c>
      <c r="AI15" s="24">
        <f t="shared" si="10"/>
        <v>0</v>
      </c>
      <c r="AJ15" s="38">
        <f t="shared" ref="AJ15:AU15" si="67">SUM(AJ16:AJ23)</f>
        <v>0</v>
      </c>
      <c r="AK15" s="35">
        <f t="shared" si="67"/>
        <v>0</v>
      </c>
      <c r="AL15" s="35">
        <f t="shared" si="67"/>
        <v>0</v>
      </c>
      <c r="AM15" s="35">
        <f t="shared" si="67"/>
        <v>0</v>
      </c>
      <c r="AN15" s="35">
        <f t="shared" si="67"/>
        <v>0</v>
      </c>
      <c r="AO15" s="35">
        <f t="shared" si="67"/>
        <v>0</v>
      </c>
      <c r="AP15" s="35">
        <f t="shared" si="67"/>
        <v>0</v>
      </c>
      <c r="AQ15" s="35">
        <f t="shared" si="67"/>
        <v>0</v>
      </c>
      <c r="AR15" s="35">
        <f t="shared" si="67"/>
        <v>0</v>
      </c>
      <c r="AS15" s="35">
        <f t="shared" si="67"/>
        <v>0</v>
      </c>
      <c r="AT15" s="35">
        <f t="shared" si="67"/>
        <v>0</v>
      </c>
      <c r="AU15" s="36">
        <f t="shared" si="67"/>
        <v>0</v>
      </c>
      <c r="AV15" s="37">
        <f t="shared" si="12"/>
        <v>0</v>
      </c>
    </row>
    <row r="16" spans="2:48" x14ac:dyDescent="0.3">
      <c r="B16" s="27" t="s">
        <v>24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31">
        <v>0</v>
      </c>
      <c r="P16" s="71">
        <f t="shared" si="4"/>
        <v>0</v>
      </c>
      <c r="Q16" s="32">
        <f t="shared" si="14"/>
        <v>0</v>
      </c>
      <c r="R16" s="32">
        <f t="shared" si="15"/>
        <v>0</v>
      </c>
      <c r="S16" s="32">
        <f t="shared" si="6"/>
        <v>0</v>
      </c>
      <c r="T16" s="33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30"/>
      <c r="AF16" s="31">
        <f t="shared" si="8"/>
        <v>0</v>
      </c>
      <c r="AG16" s="32"/>
      <c r="AH16" s="32"/>
      <c r="AI16" s="32">
        <f t="shared" si="10"/>
        <v>0</v>
      </c>
      <c r="AJ16" s="33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30"/>
      <c r="AV16" s="31">
        <f t="shared" si="12"/>
        <v>0</v>
      </c>
    </row>
    <row r="17" spans="2:48" x14ac:dyDescent="0.3">
      <c r="B17" s="27" t="s">
        <v>25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31">
        <v>0</v>
      </c>
      <c r="P17" s="71">
        <f t="shared" si="4"/>
        <v>0</v>
      </c>
      <c r="Q17" s="32">
        <f t="shared" si="14"/>
        <v>0</v>
      </c>
      <c r="R17" s="32">
        <f t="shared" si="15"/>
        <v>0</v>
      </c>
      <c r="S17" s="32">
        <f t="shared" si="6"/>
        <v>0</v>
      </c>
      <c r="T17" s="33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30"/>
      <c r="AF17" s="31">
        <f t="shared" si="8"/>
        <v>0</v>
      </c>
      <c r="AG17" s="32"/>
      <c r="AH17" s="32"/>
      <c r="AI17" s="32">
        <f t="shared" si="10"/>
        <v>0</v>
      </c>
      <c r="AJ17" s="33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30"/>
      <c r="AV17" s="31">
        <f t="shared" si="12"/>
        <v>0</v>
      </c>
    </row>
    <row r="18" spans="2:48" x14ac:dyDescent="0.3">
      <c r="B18" s="27" t="s">
        <v>26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31">
        <v>0</v>
      </c>
      <c r="P18" s="71">
        <f t="shared" si="4"/>
        <v>0</v>
      </c>
      <c r="Q18" s="32">
        <f t="shared" si="14"/>
        <v>0</v>
      </c>
      <c r="R18" s="32">
        <f t="shared" si="15"/>
        <v>0</v>
      </c>
      <c r="S18" s="32">
        <f t="shared" si="6"/>
        <v>0</v>
      </c>
      <c r="T18" s="33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30"/>
      <c r="AF18" s="31">
        <f t="shared" si="8"/>
        <v>0</v>
      </c>
      <c r="AG18" s="32"/>
      <c r="AH18" s="32"/>
      <c r="AI18" s="32">
        <f t="shared" si="10"/>
        <v>0</v>
      </c>
      <c r="AJ18" s="33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30"/>
      <c r="AV18" s="31">
        <f t="shared" si="12"/>
        <v>0</v>
      </c>
    </row>
    <row r="19" spans="2:48" ht="27.6" x14ac:dyDescent="0.3">
      <c r="B19" s="27" t="s">
        <v>27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31">
        <v>0</v>
      </c>
      <c r="P19" s="71">
        <f t="shared" si="4"/>
        <v>0</v>
      </c>
      <c r="Q19" s="32">
        <f t="shared" si="14"/>
        <v>0</v>
      </c>
      <c r="R19" s="32">
        <f t="shared" si="15"/>
        <v>0</v>
      </c>
      <c r="S19" s="32">
        <f t="shared" si="6"/>
        <v>0</v>
      </c>
      <c r="T19" s="33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30"/>
      <c r="AF19" s="31">
        <f t="shared" si="8"/>
        <v>0</v>
      </c>
      <c r="AG19" s="32"/>
      <c r="AH19" s="32"/>
      <c r="AI19" s="32">
        <f t="shared" si="10"/>
        <v>0</v>
      </c>
      <c r="AJ19" s="33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30"/>
      <c r="AV19" s="31">
        <f t="shared" si="12"/>
        <v>0</v>
      </c>
    </row>
    <row r="20" spans="2:48" ht="27.6" x14ac:dyDescent="0.3">
      <c r="B20" s="27" t="s">
        <v>58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31">
        <v>0</v>
      </c>
      <c r="P20" s="71">
        <f t="shared" si="4"/>
        <v>0</v>
      </c>
      <c r="Q20" s="32">
        <f t="shared" si="14"/>
        <v>0</v>
      </c>
      <c r="R20" s="32">
        <f t="shared" si="15"/>
        <v>0</v>
      </c>
      <c r="S20" s="32">
        <f t="shared" si="6"/>
        <v>0</v>
      </c>
      <c r="T20" s="33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30"/>
      <c r="AF20" s="31">
        <f t="shared" si="8"/>
        <v>0</v>
      </c>
      <c r="AG20" s="32"/>
      <c r="AH20" s="32"/>
      <c r="AI20" s="32">
        <f t="shared" si="10"/>
        <v>0</v>
      </c>
      <c r="AJ20" s="33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30"/>
      <c r="AV20" s="31">
        <f t="shared" si="12"/>
        <v>0</v>
      </c>
    </row>
    <row r="21" spans="2:48" x14ac:dyDescent="0.3">
      <c r="B21" s="58" t="s">
        <v>28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31">
        <v>0</v>
      </c>
      <c r="P21" s="71">
        <f t="shared" si="4"/>
        <v>0</v>
      </c>
      <c r="Q21" s="32">
        <f t="shared" si="14"/>
        <v>0</v>
      </c>
      <c r="R21" s="32">
        <f t="shared" si="15"/>
        <v>0</v>
      </c>
      <c r="S21" s="32">
        <f t="shared" si="6"/>
        <v>0</v>
      </c>
      <c r="T21" s="33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30"/>
      <c r="AF21" s="31">
        <f t="shared" si="8"/>
        <v>0</v>
      </c>
      <c r="AG21" s="32"/>
      <c r="AH21" s="32"/>
      <c r="AI21" s="32">
        <f t="shared" si="10"/>
        <v>0</v>
      </c>
      <c r="AJ21" s="33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30"/>
      <c r="AV21" s="31">
        <f t="shared" si="12"/>
        <v>0</v>
      </c>
    </row>
    <row r="22" spans="2:48" ht="27.6" x14ac:dyDescent="0.3">
      <c r="B22" s="27" t="s">
        <v>29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31">
        <v>0</v>
      </c>
      <c r="P22" s="71">
        <f t="shared" si="4"/>
        <v>0</v>
      </c>
      <c r="Q22" s="32">
        <f t="shared" si="14"/>
        <v>0</v>
      </c>
      <c r="R22" s="32">
        <f t="shared" si="15"/>
        <v>0</v>
      </c>
      <c r="S22" s="32">
        <f t="shared" si="6"/>
        <v>0</v>
      </c>
      <c r="T22" s="33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30"/>
      <c r="AF22" s="31">
        <f t="shared" si="8"/>
        <v>0</v>
      </c>
      <c r="AG22" s="32"/>
      <c r="AH22" s="32"/>
      <c r="AI22" s="32">
        <f t="shared" si="10"/>
        <v>0</v>
      </c>
      <c r="AJ22" s="33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30"/>
      <c r="AV22" s="31">
        <f t="shared" si="12"/>
        <v>0</v>
      </c>
    </row>
    <row r="23" spans="2:48" ht="69" x14ac:dyDescent="0.3">
      <c r="B23" s="27" t="s">
        <v>30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31">
        <v>0</v>
      </c>
      <c r="P23" s="71">
        <f t="shared" si="4"/>
        <v>0</v>
      </c>
      <c r="Q23" s="32">
        <f t="shared" si="14"/>
        <v>0</v>
      </c>
      <c r="R23" s="32">
        <f t="shared" si="15"/>
        <v>0</v>
      </c>
      <c r="S23" s="32">
        <f t="shared" si="6"/>
        <v>0</v>
      </c>
      <c r="T23" s="33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30"/>
      <c r="AF23" s="31">
        <f t="shared" si="8"/>
        <v>0</v>
      </c>
      <c r="AG23" s="32"/>
      <c r="AH23" s="32"/>
      <c r="AI23" s="32">
        <f t="shared" si="10"/>
        <v>0</v>
      </c>
      <c r="AJ23" s="33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30"/>
      <c r="AV23" s="31">
        <f t="shared" si="12"/>
        <v>0</v>
      </c>
    </row>
    <row r="24" spans="2:48" s="26" customFormat="1" x14ac:dyDescent="0.3">
      <c r="B24" s="34" t="s">
        <v>31</v>
      </c>
      <c r="C24" s="35">
        <f>SUM(C25:C30)</f>
        <v>22888548.309999999</v>
      </c>
      <c r="D24" s="35">
        <f>SUM(D25:D30)</f>
        <v>4128271.5620278623</v>
      </c>
      <c r="E24" s="35">
        <f t="shared" ref="E24:R24" si="68">SUM(E25:E30)</f>
        <v>1709574.629249206</v>
      </c>
      <c r="F24" s="35">
        <f t="shared" si="68"/>
        <v>2263567.364709795</v>
      </c>
      <c r="G24" s="35">
        <f t="shared" si="68"/>
        <v>1657916.813956131</v>
      </c>
      <c r="H24" s="35">
        <f t="shared" si="68"/>
        <v>1804769.4994188191</v>
      </c>
      <c r="I24" s="35">
        <f t="shared" si="68"/>
        <v>1281625.3900032681</v>
      </c>
      <c r="J24" s="35">
        <f t="shared" si="68"/>
        <v>1704886.1613673798</v>
      </c>
      <c r="K24" s="35">
        <f t="shared" si="68"/>
        <v>1512304.0452478272</v>
      </c>
      <c r="L24" s="35">
        <f t="shared" si="68"/>
        <v>1555255.3692241502</v>
      </c>
      <c r="M24" s="35">
        <f t="shared" si="68"/>
        <v>1793869.6116616549</v>
      </c>
      <c r="N24" s="35">
        <f t="shared" si="68"/>
        <v>1720167.1764608389</v>
      </c>
      <c r="O24" s="37">
        <f t="shared" si="68"/>
        <v>1756340.6866730677</v>
      </c>
      <c r="P24" s="72">
        <f t="shared" si="4"/>
        <v>22888548.309999999</v>
      </c>
      <c r="Q24" s="24">
        <f t="shared" si="68"/>
        <v>801099.19085000001</v>
      </c>
      <c r="R24" s="24">
        <f t="shared" si="68"/>
        <v>686656.44929999986</v>
      </c>
      <c r="S24" s="24">
        <f t="shared" si="6"/>
        <v>24376303.950149998</v>
      </c>
      <c r="T24" s="38">
        <f t="shared" ref="T24:AE24" si="69">SUM(T25:T30)</f>
        <v>4403274.53867028</v>
      </c>
      <c r="U24" s="35">
        <f t="shared" si="69"/>
        <v>1837589.0429866696</v>
      </c>
      <c r="V24" s="35">
        <f t="shared" si="69"/>
        <v>2433959.1967995344</v>
      </c>
      <c r="W24" s="35">
        <f t="shared" si="69"/>
        <v>1796545.1577589824</v>
      </c>
      <c r="X24" s="35">
        <f t="shared" si="69"/>
        <v>1924957.6930347192</v>
      </c>
      <c r="Y24" s="35">
        <f t="shared" si="69"/>
        <v>1397857.3968480446</v>
      </c>
      <c r="Z24" s="35">
        <f t="shared" si="69"/>
        <v>1819084.6143189822</v>
      </c>
      <c r="AA24" s="35">
        <f t="shared" si="69"/>
        <v>1640361.166398779</v>
      </c>
      <c r="AB24" s="35">
        <f t="shared" si="69"/>
        <v>1676461.2705982139</v>
      </c>
      <c r="AC24" s="35">
        <f t="shared" si="69"/>
        <v>1908408.8397515316</v>
      </c>
      <c r="AD24" s="35">
        <f t="shared" si="69"/>
        <v>1763498.5050885007</v>
      </c>
      <c r="AE24" s="36">
        <f t="shared" si="69"/>
        <v>1774306.5278957649</v>
      </c>
      <c r="AF24" s="37">
        <f t="shared" si="8"/>
        <v>24376303.950150002</v>
      </c>
      <c r="AG24" s="24">
        <f t="shared" ref="AG24:AH24" si="70">SUM(AG25:AG30)</f>
        <v>853170.63825525017</v>
      </c>
      <c r="AH24" s="24">
        <f t="shared" si="70"/>
        <v>731289.11850450002</v>
      </c>
      <c r="AI24" s="24">
        <f t="shared" si="10"/>
        <v>25960763.706909753</v>
      </c>
      <c r="AJ24" s="38">
        <f t="shared" ref="AJ24:AU24" si="71">SUM(AJ25:AJ30)</f>
        <v>4689487.3836838491</v>
      </c>
      <c r="AK24" s="35">
        <f t="shared" si="71"/>
        <v>1957032.3307808032</v>
      </c>
      <c r="AL24" s="35">
        <f t="shared" si="71"/>
        <v>2592166.5445915037</v>
      </c>
      <c r="AM24" s="35">
        <f t="shared" si="71"/>
        <v>1913320.5930133162</v>
      </c>
      <c r="AN24" s="35">
        <f t="shared" si="71"/>
        <v>2050079.9430819761</v>
      </c>
      <c r="AO24" s="35">
        <f t="shared" si="71"/>
        <v>1488718.1276431675</v>
      </c>
      <c r="AP24" s="35">
        <f t="shared" si="71"/>
        <v>1937325.114249716</v>
      </c>
      <c r="AQ24" s="35">
        <f t="shared" si="71"/>
        <v>1746984.6422146999</v>
      </c>
      <c r="AR24" s="35">
        <f t="shared" si="71"/>
        <v>1785431.2531870978</v>
      </c>
      <c r="AS24" s="35">
        <f t="shared" si="71"/>
        <v>2032455.4143353812</v>
      </c>
      <c r="AT24" s="35">
        <f t="shared" si="71"/>
        <v>1878125.9079192532</v>
      </c>
      <c r="AU24" s="36">
        <f t="shared" si="71"/>
        <v>1889636.4522089898</v>
      </c>
      <c r="AV24" s="37">
        <f t="shared" si="12"/>
        <v>25960763.706909753</v>
      </c>
    </row>
    <row r="25" spans="2:48" ht="41.4" x14ac:dyDescent="0.3">
      <c r="B25" s="27" t="s">
        <v>32</v>
      </c>
      <c r="C25" s="28">
        <v>1896066.39</v>
      </c>
      <c r="D25" s="29">
        <f>$C$25/12</f>
        <v>158005.5325</v>
      </c>
      <c r="E25" s="29">
        <f t="shared" ref="E25:O25" si="72">$C$25/12</f>
        <v>158005.5325</v>
      </c>
      <c r="F25" s="29">
        <f t="shared" si="72"/>
        <v>158005.5325</v>
      </c>
      <c r="G25" s="29">
        <f t="shared" si="72"/>
        <v>158005.5325</v>
      </c>
      <c r="H25" s="29">
        <f t="shared" si="72"/>
        <v>158005.5325</v>
      </c>
      <c r="I25" s="29">
        <f t="shared" si="72"/>
        <v>158005.5325</v>
      </c>
      <c r="J25" s="29">
        <f t="shared" si="72"/>
        <v>158005.5325</v>
      </c>
      <c r="K25" s="29">
        <f t="shared" si="72"/>
        <v>158005.5325</v>
      </c>
      <c r="L25" s="29">
        <f t="shared" si="72"/>
        <v>158005.5325</v>
      </c>
      <c r="M25" s="29">
        <f t="shared" si="72"/>
        <v>158005.5325</v>
      </c>
      <c r="N25" s="29">
        <f t="shared" si="72"/>
        <v>158005.5325</v>
      </c>
      <c r="O25" s="31">
        <f t="shared" si="72"/>
        <v>158005.5325</v>
      </c>
      <c r="P25" s="71">
        <f t="shared" si="4"/>
        <v>1896066.39</v>
      </c>
      <c r="Q25" s="32">
        <f t="shared" si="14"/>
        <v>66362.323650000006</v>
      </c>
      <c r="R25" s="32">
        <f t="shared" si="15"/>
        <v>56881.991699999991</v>
      </c>
      <c r="S25" s="32">
        <f t="shared" si="6"/>
        <v>2019310.7053499997</v>
      </c>
      <c r="T25" s="33">
        <f>$S25/12</f>
        <v>168275.89211249998</v>
      </c>
      <c r="U25" s="29">
        <f t="shared" ref="U25:AE25" si="73">$S25/12</f>
        <v>168275.89211249998</v>
      </c>
      <c r="V25" s="29">
        <f t="shared" si="73"/>
        <v>168275.89211249998</v>
      </c>
      <c r="W25" s="29">
        <f t="shared" si="73"/>
        <v>168275.89211249998</v>
      </c>
      <c r="X25" s="29">
        <f t="shared" si="73"/>
        <v>168275.89211249998</v>
      </c>
      <c r="Y25" s="29">
        <f t="shared" si="73"/>
        <v>168275.89211249998</v>
      </c>
      <c r="Z25" s="29">
        <f t="shared" si="73"/>
        <v>168275.89211249998</v>
      </c>
      <c r="AA25" s="29">
        <f t="shared" si="73"/>
        <v>168275.89211249998</v>
      </c>
      <c r="AB25" s="29">
        <f t="shared" si="73"/>
        <v>168275.89211249998</v>
      </c>
      <c r="AC25" s="29">
        <f t="shared" si="73"/>
        <v>168275.89211249998</v>
      </c>
      <c r="AD25" s="29">
        <f t="shared" si="73"/>
        <v>168275.89211249998</v>
      </c>
      <c r="AE25" s="30">
        <f t="shared" si="73"/>
        <v>168275.89211249998</v>
      </c>
      <c r="AF25" s="31">
        <f t="shared" si="8"/>
        <v>2019310.7053500002</v>
      </c>
      <c r="AG25" s="32">
        <f>AF25*$AG$1</f>
        <v>70675.87468725002</v>
      </c>
      <c r="AH25" s="32">
        <f>AF25*$AH$1</f>
        <v>60579.321160500003</v>
      </c>
      <c r="AI25" s="32">
        <f t="shared" si="10"/>
        <v>2150565.9011977501</v>
      </c>
      <c r="AJ25" s="33">
        <f>$AI25/12</f>
        <v>179213.8250998125</v>
      </c>
      <c r="AK25" s="29">
        <f t="shared" ref="AK25:AU25" si="74">$AI25/12</f>
        <v>179213.8250998125</v>
      </c>
      <c r="AL25" s="29">
        <f t="shared" si="74"/>
        <v>179213.8250998125</v>
      </c>
      <c r="AM25" s="29">
        <f t="shared" si="74"/>
        <v>179213.8250998125</v>
      </c>
      <c r="AN25" s="29">
        <f t="shared" si="74"/>
        <v>179213.8250998125</v>
      </c>
      <c r="AO25" s="29">
        <f t="shared" si="74"/>
        <v>179213.8250998125</v>
      </c>
      <c r="AP25" s="29">
        <f t="shared" si="74"/>
        <v>179213.8250998125</v>
      </c>
      <c r="AQ25" s="29">
        <f t="shared" si="74"/>
        <v>179213.8250998125</v>
      </c>
      <c r="AR25" s="29">
        <f t="shared" si="74"/>
        <v>179213.8250998125</v>
      </c>
      <c r="AS25" s="29">
        <f t="shared" si="74"/>
        <v>179213.8250998125</v>
      </c>
      <c r="AT25" s="29">
        <f t="shared" si="74"/>
        <v>179213.8250998125</v>
      </c>
      <c r="AU25" s="30">
        <f t="shared" si="74"/>
        <v>179213.8250998125</v>
      </c>
      <c r="AV25" s="31">
        <f t="shared" si="12"/>
        <v>2150565.9011977506</v>
      </c>
    </row>
    <row r="26" spans="2:48" x14ac:dyDescent="0.3">
      <c r="B26" s="27" t="s">
        <v>33</v>
      </c>
      <c r="C26" s="29"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31"/>
      <c r="P26" s="71">
        <f t="shared" si="4"/>
        <v>0</v>
      </c>
      <c r="Q26" s="32">
        <f t="shared" si="14"/>
        <v>0</v>
      </c>
      <c r="R26" s="32">
        <f t="shared" si="15"/>
        <v>0</v>
      </c>
      <c r="S26" s="32">
        <f t="shared" si="6"/>
        <v>0</v>
      </c>
      <c r="T26" s="33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30"/>
      <c r="AF26" s="31">
        <f t="shared" si="8"/>
        <v>0</v>
      </c>
      <c r="AG26" s="32"/>
      <c r="AH26" s="32"/>
      <c r="AI26" s="32">
        <f t="shared" si="10"/>
        <v>0</v>
      </c>
      <c r="AJ26" s="33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30"/>
      <c r="AV26" s="31">
        <f t="shared" si="12"/>
        <v>0</v>
      </c>
    </row>
    <row r="27" spans="2:48" x14ac:dyDescent="0.3">
      <c r="B27" s="27" t="s">
        <v>34</v>
      </c>
      <c r="C27" s="29">
        <v>20273447.559999999</v>
      </c>
      <c r="D27" s="29">
        <f>0.193188899380194*C27</f>
        <v>3916605.0207584794</v>
      </c>
      <c r="E27" s="29">
        <f>0.0743588703476659*C27</f>
        <v>1507510.6586142436</v>
      </c>
      <c r="F27" s="29">
        <f>0.101979824985691*C27</f>
        <v>2067482.634025384</v>
      </c>
      <c r="G27" s="29">
        <f>0.0724579179193893*C27</f>
        <v>1468971.7992455231</v>
      </c>
      <c r="H27" s="29">
        <f>0.0784053597709443*C27</f>
        <v>1589546.9497391728</v>
      </c>
      <c r="I27" s="29">
        <f>0.0539926468315402*C27</f>
        <v>1094617.0941648304</v>
      </c>
      <c r="J27" s="29">
        <f>0.0735018355320149*C27</f>
        <v>1490135.6082220487</v>
      </c>
      <c r="K27" s="29">
        <f>0.065224237774659*C27</f>
        <v>1322320.1641655201</v>
      </c>
      <c r="L27" s="29">
        <f>0.0668962183963342*C27</f>
        <v>1356216.9756203885</v>
      </c>
      <c r="M27" s="29">
        <f>0.0776388976619272*C27</f>
        <v>1574008.1203652876</v>
      </c>
      <c r="N27" s="29">
        <f>0.0709273582686185*C27</f>
        <v>1437942.0784281695</v>
      </c>
      <c r="O27" s="31">
        <f>0.0714279331310216*C27</f>
        <v>1448090.4566509528</v>
      </c>
      <c r="P27" s="71">
        <f t="shared" si="4"/>
        <v>20273447.559999999</v>
      </c>
      <c r="Q27" s="32">
        <f t="shared" si="14"/>
        <v>709570.66460000002</v>
      </c>
      <c r="R27" s="32">
        <f t="shared" si="15"/>
        <v>608203.4267999999</v>
      </c>
      <c r="S27" s="32">
        <f t="shared" si="6"/>
        <v>21591221.6514</v>
      </c>
      <c r="T27" s="33">
        <f>(D27/$P27)*$S27</f>
        <v>4171184.3471077811</v>
      </c>
      <c r="U27" s="29">
        <f t="shared" ref="U27" si="75">(E27/$P27)*$S27</f>
        <v>1605498.8514241695</v>
      </c>
      <c r="V27" s="29">
        <f t="shared" ref="V27" si="76">(F27/$P27)*$S27</f>
        <v>2201869.0052370341</v>
      </c>
      <c r="W27" s="29">
        <f t="shared" ref="W27" si="77">(G27/$P27)*$S27</f>
        <v>1564454.9661964823</v>
      </c>
      <c r="X27" s="29">
        <f t="shared" ref="X27" si="78">(H27/$P27)*$S27</f>
        <v>1692867.5014722191</v>
      </c>
      <c r="Y27" s="29">
        <f t="shared" ref="Y27" si="79">(I27/$P27)*$S27</f>
        <v>1165767.2052855445</v>
      </c>
      <c r="Z27" s="29">
        <f t="shared" ref="Z27" si="80">(J27/$P27)*$S27</f>
        <v>1586994.4227564821</v>
      </c>
      <c r="AA27" s="29">
        <f t="shared" ref="AA27" si="81">(K27/$P27)*$S27</f>
        <v>1408270.9748362789</v>
      </c>
      <c r="AB27" s="29">
        <f t="shared" ref="AB27" si="82">(L27/$P27)*$S27</f>
        <v>1444371.0790357138</v>
      </c>
      <c r="AC27" s="29">
        <f t="shared" ref="AC27" si="83">(M27/$P27)*$S27</f>
        <v>1676318.6481890315</v>
      </c>
      <c r="AD27" s="29">
        <f t="shared" ref="AD27" si="84">(N27/$P27)*$S27</f>
        <v>1531408.3135260006</v>
      </c>
      <c r="AE27" s="30">
        <f t="shared" ref="AE27" si="85">(O27/$P27)*$S27</f>
        <v>1542216.3363332648</v>
      </c>
      <c r="AF27" s="31">
        <f t="shared" si="8"/>
        <v>21591221.651400004</v>
      </c>
      <c r="AG27" s="32">
        <f>AF27*$AG$1</f>
        <v>755692.75779900025</v>
      </c>
      <c r="AH27" s="32">
        <f>AF27*$AH$1</f>
        <v>647736.64954200003</v>
      </c>
      <c r="AI27" s="32">
        <f t="shared" si="10"/>
        <v>22994651.058741003</v>
      </c>
      <c r="AJ27" s="33">
        <f>(T27/$AF27)*$AI27</f>
        <v>4442311.3296697866</v>
      </c>
      <c r="AK27" s="29">
        <f t="shared" ref="AK27" si="86">(U27/$AF27)*$AI27</f>
        <v>1709856.2767667405</v>
      </c>
      <c r="AL27" s="29">
        <f t="shared" ref="AL27" si="87">(V27/$AF27)*$AI27</f>
        <v>2344990.4905774412</v>
      </c>
      <c r="AM27" s="29">
        <f t="shared" ref="AM27" si="88">(W27/$AF27)*$AI27</f>
        <v>1666144.5389992534</v>
      </c>
      <c r="AN27" s="29">
        <f t="shared" ref="AN27" si="89">(X27/$AF27)*$AI27</f>
        <v>1802903.8890679134</v>
      </c>
      <c r="AO27" s="29">
        <f t="shared" ref="AO27" si="90">(Y27/$AF27)*$AI27</f>
        <v>1241542.0736291048</v>
      </c>
      <c r="AP27" s="29">
        <f t="shared" ref="AP27" si="91">(Z27/$AF27)*$AI27</f>
        <v>1690149.0602356533</v>
      </c>
      <c r="AQ27" s="29">
        <f t="shared" ref="AQ27" si="92">(AA27/$AF27)*$AI27</f>
        <v>1499808.5882006371</v>
      </c>
      <c r="AR27" s="29">
        <f t="shared" ref="AR27" si="93">(AB27/$AF27)*$AI27</f>
        <v>1538255.1991730351</v>
      </c>
      <c r="AS27" s="29">
        <f t="shared" ref="AS27" si="94">(AC27/$AF27)*$AI27</f>
        <v>1785279.3603213185</v>
      </c>
      <c r="AT27" s="29">
        <f t="shared" ref="AT27" si="95">(AD27/$AF27)*$AI27</f>
        <v>1630949.8539051905</v>
      </c>
      <c r="AU27" s="30">
        <f t="shared" ref="AU27" si="96">(AE27/$AF27)*$AI27</f>
        <v>1642460.398194927</v>
      </c>
      <c r="AV27" s="31">
        <f t="shared" si="12"/>
        <v>22994651.058741</v>
      </c>
    </row>
    <row r="28" spans="2:48" x14ac:dyDescent="0.3">
      <c r="B28" s="27" t="s">
        <v>35</v>
      </c>
      <c r="C28" s="28">
        <v>61029.7</v>
      </c>
      <c r="D28" s="29">
        <f>$C$28/12</f>
        <v>5085.8083333333334</v>
      </c>
      <c r="E28" s="29">
        <f t="shared" ref="E28:O28" si="97">$C$28/12</f>
        <v>5085.8083333333334</v>
      </c>
      <c r="F28" s="29">
        <f t="shared" si="97"/>
        <v>5085.8083333333334</v>
      </c>
      <c r="G28" s="29">
        <f t="shared" si="97"/>
        <v>5085.8083333333334</v>
      </c>
      <c r="H28" s="29">
        <f t="shared" si="97"/>
        <v>5085.8083333333334</v>
      </c>
      <c r="I28" s="29">
        <f t="shared" si="97"/>
        <v>5085.8083333333334</v>
      </c>
      <c r="J28" s="29">
        <f t="shared" si="97"/>
        <v>5085.8083333333334</v>
      </c>
      <c r="K28" s="29">
        <f t="shared" si="97"/>
        <v>5085.8083333333334</v>
      </c>
      <c r="L28" s="29">
        <f t="shared" si="97"/>
        <v>5085.8083333333334</v>
      </c>
      <c r="M28" s="29">
        <f t="shared" si="97"/>
        <v>5085.8083333333334</v>
      </c>
      <c r="N28" s="29">
        <f t="shared" si="97"/>
        <v>5085.8083333333334</v>
      </c>
      <c r="O28" s="31">
        <f t="shared" si="97"/>
        <v>5085.8083333333334</v>
      </c>
      <c r="P28" s="71">
        <f t="shared" si="4"/>
        <v>61029.700000000004</v>
      </c>
      <c r="Q28" s="32">
        <f t="shared" si="14"/>
        <v>2136.0395000000003</v>
      </c>
      <c r="R28" s="32">
        <f t="shared" si="15"/>
        <v>1830.8910000000001</v>
      </c>
      <c r="S28" s="32">
        <f t="shared" si="6"/>
        <v>64996.630500000007</v>
      </c>
      <c r="T28" s="33">
        <f t="shared" ref="T28:AE32" si="98">$S28/12</f>
        <v>5416.3858750000009</v>
      </c>
      <c r="U28" s="29">
        <f t="shared" si="98"/>
        <v>5416.3858750000009</v>
      </c>
      <c r="V28" s="29">
        <f t="shared" si="98"/>
        <v>5416.3858750000009</v>
      </c>
      <c r="W28" s="29">
        <f t="shared" si="98"/>
        <v>5416.3858750000009</v>
      </c>
      <c r="X28" s="29">
        <f t="shared" si="98"/>
        <v>5416.3858750000009</v>
      </c>
      <c r="Y28" s="29">
        <f t="shared" si="98"/>
        <v>5416.3858750000009</v>
      </c>
      <c r="Z28" s="29">
        <f t="shared" si="98"/>
        <v>5416.3858750000009</v>
      </c>
      <c r="AA28" s="29">
        <f t="shared" si="98"/>
        <v>5416.3858750000009</v>
      </c>
      <c r="AB28" s="29">
        <f t="shared" si="98"/>
        <v>5416.3858750000009</v>
      </c>
      <c r="AC28" s="29">
        <f t="shared" si="98"/>
        <v>5416.3858750000009</v>
      </c>
      <c r="AD28" s="29">
        <f t="shared" si="98"/>
        <v>5416.3858750000009</v>
      </c>
      <c r="AE28" s="30">
        <f t="shared" si="98"/>
        <v>5416.3858750000009</v>
      </c>
      <c r="AF28" s="31">
        <f t="shared" si="8"/>
        <v>64996.630500000007</v>
      </c>
      <c r="AG28" s="32">
        <f>AF28*$AG$1</f>
        <v>2274.8820675000006</v>
      </c>
      <c r="AH28" s="32">
        <f>AF28*$AH$1</f>
        <v>1949.8989150000002</v>
      </c>
      <c r="AI28" s="32">
        <f t="shared" si="10"/>
        <v>69221.4114825</v>
      </c>
      <c r="AJ28" s="33">
        <f>$AI28/12</f>
        <v>5768.450956875</v>
      </c>
      <c r="AK28" s="29">
        <f t="shared" ref="AK28:AU32" si="99">$AI28/12</f>
        <v>5768.450956875</v>
      </c>
      <c r="AL28" s="29">
        <f t="shared" si="99"/>
        <v>5768.450956875</v>
      </c>
      <c r="AM28" s="29">
        <f t="shared" si="99"/>
        <v>5768.450956875</v>
      </c>
      <c r="AN28" s="29">
        <f t="shared" si="99"/>
        <v>5768.450956875</v>
      </c>
      <c r="AO28" s="29">
        <f t="shared" si="99"/>
        <v>5768.450956875</v>
      </c>
      <c r="AP28" s="29">
        <f t="shared" si="99"/>
        <v>5768.450956875</v>
      </c>
      <c r="AQ28" s="29">
        <f t="shared" si="99"/>
        <v>5768.450956875</v>
      </c>
      <c r="AR28" s="29">
        <f t="shared" si="99"/>
        <v>5768.450956875</v>
      </c>
      <c r="AS28" s="29">
        <f t="shared" si="99"/>
        <v>5768.450956875</v>
      </c>
      <c r="AT28" s="29">
        <f t="shared" si="99"/>
        <v>5768.450956875</v>
      </c>
      <c r="AU28" s="30">
        <f t="shared" si="99"/>
        <v>5768.450956875</v>
      </c>
      <c r="AV28" s="31">
        <f t="shared" si="12"/>
        <v>69221.4114825</v>
      </c>
    </row>
    <row r="29" spans="2:48" x14ac:dyDescent="0.3">
      <c r="B29" s="27" t="s">
        <v>21</v>
      </c>
      <c r="C29" s="28">
        <v>184414.98</v>
      </c>
      <c r="D29" s="29">
        <f>$C$29/12</f>
        <v>15367.915000000001</v>
      </c>
      <c r="E29" s="29">
        <f t="shared" ref="E29:O29" si="100">$C$29/12</f>
        <v>15367.915000000001</v>
      </c>
      <c r="F29" s="29">
        <f t="shared" si="100"/>
        <v>15367.915000000001</v>
      </c>
      <c r="G29" s="29">
        <f t="shared" si="100"/>
        <v>15367.915000000001</v>
      </c>
      <c r="H29" s="29">
        <f t="shared" si="100"/>
        <v>15367.915000000001</v>
      </c>
      <c r="I29" s="29">
        <f t="shared" si="100"/>
        <v>15367.915000000001</v>
      </c>
      <c r="J29" s="29">
        <f t="shared" si="100"/>
        <v>15367.915000000001</v>
      </c>
      <c r="K29" s="29">
        <f t="shared" si="100"/>
        <v>15367.915000000001</v>
      </c>
      <c r="L29" s="29">
        <f t="shared" si="100"/>
        <v>15367.915000000001</v>
      </c>
      <c r="M29" s="29">
        <f t="shared" si="100"/>
        <v>15367.915000000001</v>
      </c>
      <c r="N29" s="29">
        <f t="shared" si="100"/>
        <v>15367.915000000001</v>
      </c>
      <c r="O29" s="31">
        <f t="shared" si="100"/>
        <v>15367.915000000001</v>
      </c>
      <c r="P29" s="71">
        <f t="shared" si="4"/>
        <v>184414.98000000007</v>
      </c>
      <c r="Q29" s="32">
        <f t="shared" si="14"/>
        <v>6454.5243000000028</v>
      </c>
      <c r="R29" s="32">
        <f t="shared" si="15"/>
        <v>5532.4494000000022</v>
      </c>
      <c r="S29" s="32">
        <f t="shared" si="6"/>
        <v>196401.95370000007</v>
      </c>
      <c r="T29" s="33">
        <f t="shared" si="98"/>
        <v>16366.829475000006</v>
      </c>
      <c r="U29" s="29">
        <f t="shared" si="98"/>
        <v>16366.829475000006</v>
      </c>
      <c r="V29" s="29">
        <f t="shared" si="98"/>
        <v>16366.829475000006</v>
      </c>
      <c r="W29" s="29">
        <f t="shared" si="98"/>
        <v>16366.829475000006</v>
      </c>
      <c r="X29" s="29">
        <f t="shared" si="98"/>
        <v>16366.829475000006</v>
      </c>
      <c r="Y29" s="29">
        <f t="shared" si="98"/>
        <v>16366.829475000006</v>
      </c>
      <c r="Z29" s="29">
        <f t="shared" si="98"/>
        <v>16366.829475000006</v>
      </c>
      <c r="AA29" s="29">
        <f t="shared" si="98"/>
        <v>16366.829475000006</v>
      </c>
      <c r="AB29" s="29">
        <f t="shared" si="98"/>
        <v>16366.829475000006</v>
      </c>
      <c r="AC29" s="29">
        <f t="shared" si="98"/>
        <v>16366.829475000006</v>
      </c>
      <c r="AD29" s="29">
        <f t="shared" si="98"/>
        <v>16366.829475000006</v>
      </c>
      <c r="AE29" s="30">
        <f t="shared" si="98"/>
        <v>16366.829475000006</v>
      </c>
      <c r="AF29" s="31">
        <f t="shared" si="8"/>
        <v>196401.95370000007</v>
      </c>
      <c r="AG29" s="32">
        <f>AF29*$AG$1</f>
        <v>6874.0683795000032</v>
      </c>
      <c r="AH29" s="32">
        <f>AF29*$AH$1</f>
        <v>5892.0586110000022</v>
      </c>
      <c r="AI29" s="32">
        <f t="shared" si="10"/>
        <v>209168.08069050009</v>
      </c>
      <c r="AJ29" s="33">
        <f>$AI29/12</f>
        <v>17430.673390875007</v>
      </c>
      <c r="AK29" s="29">
        <f t="shared" si="99"/>
        <v>17430.673390875007</v>
      </c>
      <c r="AL29" s="29">
        <f t="shared" si="99"/>
        <v>17430.673390875007</v>
      </c>
      <c r="AM29" s="29">
        <f t="shared" si="99"/>
        <v>17430.673390875007</v>
      </c>
      <c r="AN29" s="29">
        <f t="shared" si="99"/>
        <v>17430.673390875007</v>
      </c>
      <c r="AO29" s="29">
        <f t="shared" si="99"/>
        <v>17430.673390875007</v>
      </c>
      <c r="AP29" s="29">
        <f t="shared" si="99"/>
        <v>17430.673390875007</v>
      </c>
      <c r="AQ29" s="29">
        <f t="shared" si="99"/>
        <v>17430.673390875007</v>
      </c>
      <c r="AR29" s="29">
        <f t="shared" si="99"/>
        <v>17430.673390875007</v>
      </c>
      <c r="AS29" s="29">
        <f t="shared" si="99"/>
        <v>17430.673390875007</v>
      </c>
      <c r="AT29" s="29">
        <f t="shared" si="99"/>
        <v>17430.673390875007</v>
      </c>
      <c r="AU29" s="30">
        <f t="shared" si="99"/>
        <v>17430.673390875007</v>
      </c>
      <c r="AV29" s="31">
        <f t="shared" si="12"/>
        <v>209168.08069050012</v>
      </c>
    </row>
    <row r="30" spans="2:48" ht="55.2" x14ac:dyDescent="0.3">
      <c r="B30" s="27" t="s">
        <v>55</v>
      </c>
      <c r="C30" s="28">
        <v>473589.68</v>
      </c>
      <c r="D30" s="29">
        <f>0.0701182623659573*C30</f>
        <v>33207.285436049766</v>
      </c>
      <c r="E30" s="29">
        <f>0.0498421224077963*C30</f>
        <v>23604.714801629078</v>
      </c>
      <c r="F30" s="29">
        <f>0.0372167629393397*C30</f>
        <v>17625.474851077746</v>
      </c>
      <c r="G30" s="29">
        <f>0.0221410206347288*C30</f>
        <v>10485.758877274609</v>
      </c>
      <c r="H30" s="29">
        <f>0.0776268896871082*C30</f>
        <v>36763.293846312867</v>
      </c>
      <c r="I30" s="29">
        <f>0.0180515757968045*C30</f>
        <v>8549.0400051043889</v>
      </c>
      <c r="J30" s="29">
        <f>0.0766302536659957*C30</f>
        <v>36291.297311997732</v>
      </c>
      <c r="K30" s="29">
        <f>0.0243346207395687*C30</f>
        <v>11524.625248973703</v>
      </c>
      <c r="L30" s="29">
        <f>0.0434535181814528*C30</f>
        <v>20579.137770428413</v>
      </c>
      <c r="M30" s="29">
        <f>0.0874221656667726*C30</f>
        <v>41402.235463033823</v>
      </c>
      <c r="N30" s="29">
        <f>0.219104947978039*C30</f>
        <v>103765.84219933614</v>
      </c>
      <c r="O30" s="31">
        <f>0.274057859936436*C30</f>
        <v>129790.97418878155</v>
      </c>
      <c r="P30" s="71">
        <f t="shared" si="4"/>
        <v>473589.67999999982</v>
      </c>
      <c r="Q30" s="32">
        <f t="shared" si="14"/>
        <v>16575.638799999997</v>
      </c>
      <c r="R30" s="32">
        <f t="shared" si="15"/>
        <v>14207.690399999994</v>
      </c>
      <c r="S30" s="32">
        <f t="shared" si="6"/>
        <v>504373.00919999985</v>
      </c>
      <c r="T30" s="33">
        <f t="shared" si="98"/>
        <v>42031.084099999985</v>
      </c>
      <c r="U30" s="29">
        <f t="shared" si="98"/>
        <v>42031.084099999985</v>
      </c>
      <c r="V30" s="29">
        <f t="shared" si="98"/>
        <v>42031.084099999985</v>
      </c>
      <c r="W30" s="29">
        <f t="shared" si="98"/>
        <v>42031.084099999985</v>
      </c>
      <c r="X30" s="29">
        <f t="shared" si="98"/>
        <v>42031.084099999985</v>
      </c>
      <c r="Y30" s="29">
        <f t="shared" si="98"/>
        <v>42031.084099999985</v>
      </c>
      <c r="Z30" s="29">
        <f t="shared" si="98"/>
        <v>42031.084099999985</v>
      </c>
      <c r="AA30" s="29">
        <f t="shared" si="98"/>
        <v>42031.084099999985</v>
      </c>
      <c r="AB30" s="29">
        <f t="shared" si="98"/>
        <v>42031.084099999985</v>
      </c>
      <c r="AC30" s="29">
        <f t="shared" si="98"/>
        <v>42031.084099999985</v>
      </c>
      <c r="AD30" s="29">
        <f t="shared" si="98"/>
        <v>42031.084099999985</v>
      </c>
      <c r="AE30" s="30">
        <f t="shared" si="98"/>
        <v>42031.084099999985</v>
      </c>
      <c r="AF30" s="31">
        <f t="shared" si="8"/>
        <v>504373.0091999998</v>
      </c>
      <c r="AG30" s="32">
        <f>AF30*$AG$1</f>
        <v>17653.055321999993</v>
      </c>
      <c r="AH30" s="32">
        <f>AF30*$AH$1</f>
        <v>15131.190275999994</v>
      </c>
      <c r="AI30" s="32">
        <f t="shared" si="10"/>
        <v>537157.25479799975</v>
      </c>
      <c r="AJ30" s="33">
        <f>$AI30/12</f>
        <v>44763.104566499976</v>
      </c>
      <c r="AK30" s="29">
        <f t="shared" si="99"/>
        <v>44763.104566499976</v>
      </c>
      <c r="AL30" s="29">
        <f t="shared" si="99"/>
        <v>44763.104566499976</v>
      </c>
      <c r="AM30" s="29">
        <f t="shared" si="99"/>
        <v>44763.104566499976</v>
      </c>
      <c r="AN30" s="29">
        <f t="shared" si="99"/>
        <v>44763.104566499976</v>
      </c>
      <c r="AO30" s="29">
        <f t="shared" si="99"/>
        <v>44763.104566499976</v>
      </c>
      <c r="AP30" s="29">
        <f t="shared" si="99"/>
        <v>44763.104566499976</v>
      </c>
      <c r="AQ30" s="29">
        <f t="shared" si="99"/>
        <v>44763.104566499976</v>
      </c>
      <c r="AR30" s="29">
        <f t="shared" si="99"/>
        <v>44763.104566499976</v>
      </c>
      <c r="AS30" s="29">
        <f t="shared" si="99"/>
        <v>44763.104566499976</v>
      </c>
      <c r="AT30" s="29">
        <f t="shared" si="99"/>
        <v>44763.104566499976</v>
      </c>
      <c r="AU30" s="30">
        <f t="shared" si="99"/>
        <v>44763.104566499976</v>
      </c>
      <c r="AV30" s="31">
        <f t="shared" si="12"/>
        <v>537157.25479799986</v>
      </c>
    </row>
    <row r="31" spans="2:48" s="26" customFormat="1" x14ac:dyDescent="0.3">
      <c r="B31" s="34" t="s">
        <v>36</v>
      </c>
      <c r="C31" s="35">
        <f>+C33+C32</f>
        <v>1338842.49</v>
      </c>
      <c r="D31" s="35">
        <f>SUM(D32:D33)</f>
        <v>111570.20749999999</v>
      </c>
      <c r="E31" s="35">
        <f t="shared" ref="E31:O31" si="101">SUM(E32:E33)</f>
        <v>111570.20749999999</v>
      </c>
      <c r="F31" s="35">
        <f t="shared" si="101"/>
        <v>111570.20749999999</v>
      </c>
      <c r="G31" s="35">
        <f t="shared" si="101"/>
        <v>111570.20749999999</v>
      </c>
      <c r="H31" s="35">
        <f t="shared" si="101"/>
        <v>111570.20749999999</v>
      </c>
      <c r="I31" s="35">
        <f t="shared" si="101"/>
        <v>111570.20749999999</v>
      </c>
      <c r="J31" s="35">
        <f t="shared" si="101"/>
        <v>111570.20749999999</v>
      </c>
      <c r="K31" s="35">
        <f t="shared" si="101"/>
        <v>111570.20749999999</v>
      </c>
      <c r="L31" s="35">
        <f t="shared" si="101"/>
        <v>111570.20749999999</v>
      </c>
      <c r="M31" s="35">
        <f t="shared" si="101"/>
        <v>111570.20749999999</v>
      </c>
      <c r="N31" s="35">
        <f t="shared" si="101"/>
        <v>111570.20749999999</v>
      </c>
      <c r="O31" s="37">
        <f t="shared" si="101"/>
        <v>111570.20749999999</v>
      </c>
      <c r="P31" s="72">
        <f t="shared" si="4"/>
        <v>1338842.49</v>
      </c>
      <c r="Q31" s="24">
        <f>SUM(Q32:Q33)</f>
        <v>46859.487150000015</v>
      </c>
      <c r="R31" s="24">
        <f>SUM(R32:R33)</f>
        <v>40165.274700000002</v>
      </c>
      <c r="S31" s="24">
        <f t="shared" si="6"/>
        <v>1425867.2518499999</v>
      </c>
      <c r="T31" s="38">
        <f t="shared" ref="T31:AE31" si="102">SUM(T32:T33)</f>
        <v>118733.52098750001</v>
      </c>
      <c r="U31" s="35">
        <f t="shared" si="102"/>
        <v>118733.52098750001</v>
      </c>
      <c r="V31" s="35">
        <f t="shared" si="102"/>
        <v>118733.52098750001</v>
      </c>
      <c r="W31" s="35">
        <f t="shared" si="102"/>
        <v>118733.52098750001</v>
      </c>
      <c r="X31" s="35">
        <f t="shared" si="102"/>
        <v>118733.52098750001</v>
      </c>
      <c r="Y31" s="35">
        <f t="shared" si="102"/>
        <v>118733.52098750001</v>
      </c>
      <c r="Z31" s="35">
        <f t="shared" si="102"/>
        <v>118733.52098750001</v>
      </c>
      <c r="AA31" s="35">
        <f t="shared" si="102"/>
        <v>118733.52098750001</v>
      </c>
      <c r="AB31" s="35">
        <f t="shared" si="102"/>
        <v>118733.52098750001</v>
      </c>
      <c r="AC31" s="35">
        <f t="shared" si="102"/>
        <v>118733.52098750001</v>
      </c>
      <c r="AD31" s="35">
        <f t="shared" si="102"/>
        <v>118733.52098750001</v>
      </c>
      <c r="AE31" s="36">
        <f t="shared" si="102"/>
        <v>118733.52098750001</v>
      </c>
      <c r="AF31" s="37">
        <f t="shared" si="8"/>
        <v>1424802.2518499999</v>
      </c>
      <c r="AG31" s="24">
        <f>SUM(AG32:AG33)</f>
        <v>49868.078814749999</v>
      </c>
      <c r="AH31" s="24">
        <f>SUM(AH32:AH33)</f>
        <v>42744.067555499998</v>
      </c>
      <c r="AI31" s="24">
        <f t="shared" si="10"/>
        <v>1517414.3982202499</v>
      </c>
      <c r="AJ31" s="38">
        <f t="shared" ref="AJ31:AU31" si="103">SUM(AJ32:AJ33)</f>
        <v>126451.19985168749</v>
      </c>
      <c r="AK31" s="35">
        <f t="shared" si="103"/>
        <v>126451.19985168749</v>
      </c>
      <c r="AL31" s="35">
        <f t="shared" si="103"/>
        <v>126451.19985168749</v>
      </c>
      <c r="AM31" s="35">
        <f t="shared" si="103"/>
        <v>126451.19985168749</v>
      </c>
      <c r="AN31" s="35">
        <f t="shared" si="103"/>
        <v>126451.19985168749</v>
      </c>
      <c r="AO31" s="35">
        <f t="shared" si="103"/>
        <v>126451.19985168749</v>
      </c>
      <c r="AP31" s="35">
        <f t="shared" si="103"/>
        <v>126451.19985168749</v>
      </c>
      <c r="AQ31" s="35">
        <f t="shared" si="103"/>
        <v>126451.19985168749</v>
      </c>
      <c r="AR31" s="35">
        <f t="shared" si="103"/>
        <v>126451.19985168749</v>
      </c>
      <c r="AS31" s="35">
        <f t="shared" si="103"/>
        <v>126451.19985168749</v>
      </c>
      <c r="AT31" s="35">
        <f t="shared" si="103"/>
        <v>126451.19985168749</v>
      </c>
      <c r="AU31" s="36">
        <f t="shared" si="103"/>
        <v>126451.19985168749</v>
      </c>
      <c r="AV31" s="37">
        <f t="shared" si="12"/>
        <v>1517414.3982202502</v>
      </c>
    </row>
    <row r="32" spans="2:48" x14ac:dyDescent="0.3">
      <c r="B32" s="27" t="s">
        <v>36</v>
      </c>
      <c r="C32" s="28">
        <v>1337842.49</v>
      </c>
      <c r="D32" s="29">
        <f>$C$32/12</f>
        <v>111486.87416666666</v>
      </c>
      <c r="E32" s="29">
        <f t="shared" ref="E32:O32" si="104">$C$32/12</f>
        <v>111486.87416666666</v>
      </c>
      <c r="F32" s="29">
        <f t="shared" si="104"/>
        <v>111486.87416666666</v>
      </c>
      <c r="G32" s="29">
        <f t="shared" si="104"/>
        <v>111486.87416666666</v>
      </c>
      <c r="H32" s="29">
        <f t="shared" si="104"/>
        <v>111486.87416666666</v>
      </c>
      <c r="I32" s="29">
        <f t="shared" si="104"/>
        <v>111486.87416666666</v>
      </c>
      <c r="J32" s="29">
        <f t="shared" si="104"/>
        <v>111486.87416666666</v>
      </c>
      <c r="K32" s="29">
        <f t="shared" si="104"/>
        <v>111486.87416666666</v>
      </c>
      <c r="L32" s="29">
        <f t="shared" si="104"/>
        <v>111486.87416666666</v>
      </c>
      <c r="M32" s="29">
        <f t="shared" si="104"/>
        <v>111486.87416666666</v>
      </c>
      <c r="N32" s="29">
        <f t="shared" si="104"/>
        <v>111486.87416666666</v>
      </c>
      <c r="O32" s="31">
        <f t="shared" si="104"/>
        <v>111486.87416666666</v>
      </c>
      <c r="P32" s="71">
        <f t="shared" si="4"/>
        <v>1337842.4900000002</v>
      </c>
      <c r="Q32" s="32">
        <f t="shared" si="14"/>
        <v>46824.487150000015</v>
      </c>
      <c r="R32" s="32">
        <f t="shared" si="15"/>
        <v>40135.274700000002</v>
      </c>
      <c r="S32" s="32">
        <f t="shared" si="6"/>
        <v>1424802.2518500001</v>
      </c>
      <c r="T32" s="33">
        <f t="shared" si="98"/>
        <v>118733.52098750001</v>
      </c>
      <c r="U32" s="29">
        <f t="shared" si="98"/>
        <v>118733.52098750001</v>
      </c>
      <c r="V32" s="29">
        <f t="shared" si="98"/>
        <v>118733.52098750001</v>
      </c>
      <c r="W32" s="29">
        <f t="shared" si="98"/>
        <v>118733.52098750001</v>
      </c>
      <c r="X32" s="29">
        <f t="shared" si="98"/>
        <v>118733.52098750001</v>
      </c>
      <c r="Y32" s="29">
        <f t="shared" si="98"/>
        <v>118733.52098750001</v>
      </c>
      <c r="Z32" s="29">
        <f t="shared" si="98"/>
        <v>118733.52098750001</v>
      </c>
      <c r="AA32" s="29">
        <f t="shared" si="98"/>
        <v>118733.52098750001</v>
      </c>
      <c r="AB32" s="29">
        <f t="shared" si="98"/>
        <v>118733.52098750001</v>
      </c>
      <c r="AC32" s="29">
        <f t="shared" si="98"/>
        <v>118733.52098750001</v>
      </c>
      <c r="AD32" s="29">
        <f t="shared" si="98"/>
        <v>118733.52098750001</v>
      </c>
      <c r="AE32" s="30">
        <f t="shared" si="98"/>
        <v>118733.52098750001</v>
      </c>
      <c r="AF32" s="31">
        <f t="shared" si="8"/>
        <v>1424802.2518499999</v>
      </c>
      <c r="AG32" s="32">
        <f>AF32*$AG$1</f>
        <v>49868.078814749999</v>
      </c>
      <c r="AH32" s="32">
        <f>AF32*$AH$1</f>
        <v>42744.067555499998</v>
      </c>
      <c r="AI32" s="32">
        <f t="shared" si="10"/>
        <v>1517414.3982202499</v>
      </c>
      <c r="AJ32" s="33">
        <f>$AI32/12</f>
        <v>126451.19985168749</v>
      </c>
      <c r="AK32" s="29">
        <f t="shared" si="99"/>
        <v>126451.19985168749</v>
      </c>
      <c r="AL32" s="29">
        <f t="shared" si="99"/>
        <v>126451.19985168749</v>
      </c>
      <c r="AM32" s="29">
        <f t="shared" si="99"/>
        <v>126451.19985168749</v>
      </c>
      <c r="AN32" s="29">
        <f t="shared" si="99"/>
        <v>126451.19985168749</v>
      </c>
      <c r="AO32" s="29">
        <f t="shared" si="99"/>
        <v>126451.19985168749</v>
      </c>
      <c r="AP32" s="29">
        <f t="shared" si="99"/>
        <v>126451.19985168749</v>
      </c>
      <c r="AQ32" s="29">
        <f t="shared" si="99"/>
        <v>126451.19985168749</v>
      </c>
      <c r="AR32" s="29">
        <f t="shared" si="99"/>
        <v>126451.19985168749</v>
      </c>
      <c r="AS32" s="29">
        <f t="shared" si="99"/>
        <v>126451.19985168749</v>
      </c>
      <c r="AT32" s="29">
        <f t="shared" si="99"/>
        <v>126451.19985168749</v>
      </c>
      <c r="AU32" s="30">
        <f t="shared" si="99"/>
        <v>126451.19985168749</v>
      </c>
      <c r="AV32" s="31">
        <f t="shared" si="12"/>
        <v>1517414.3982202502</v>
      </c>
    </row>
    <row r="33" spans="2:48" ht="55.2" x14ac:dyDescent="0.3">
      <c r="B33" s="27" t="s">
        <v>56</v>
      </c>
      <c r="C33" s="28">
        <v>1000</v>
      </c>
      <c r="D33" s="29">
        <f>$C$33/12</f>
        <v>83.333333333333329</v>
      </c>
      <c r="E33" s="29">
        <f t="shared" ref="E33:O33" si="105">$C$33/12</f>
        <v>83.333333333333329</v>
      </c>
      <c r="F33" s="29">
        <f t="shared" si="105"/>
        <v>83.333333333333329</v>
      </c>
      <c r="G33" s="29">
        <f t="shared" si="105"/>
        <v>83.333333333333329</v>
      </c>
      <c r="H33" s="29">
        <f t="shared" si="105"/>
        <v>83.333333333333329</v>
      </c>
      <c r="I33" s="29">
        <f t="shared" si="105"/>
        <v>83.333333333333329</v>
      </c>
      <c r="J33" s="29">
        <f t="shared" si="105"/>
        <v>83.333333333333329</v>
      </c>
      <c r="K33" s="29">
        <f t="shared" si="105"/>
        <v>83.333333333333329</v>
      </c>
      <c r="L33" s="29">
        <f t="shared" si="105"/>
        <v>83.333333333333329</v>
      </c>
      <c r="M33" s="29">
        <f t="shared" si="105"/>
        <v>83.333333333333329</v>
      </c>
      <c r="N33" s="29">
        <f t="shared" si="105"/>
        <v>83.333333333333329</v>
      </c>
      <c r="O33" s="31">
        <f t="shared" si="105"/>
        <v>83.333333333333329</v>
      </c>
      <c r="P33" s="71">
        <f t="shared" si="4"/>
        <v>1000.0000000000001</v>
      </c>
      <c r="Q33" s="32">
        <f t="shared" si="14"/>
        <v>35.000000000000007</v>
      </c>
      <c r="R33" s="32">
        <f t="shared" si="15"/>
        <v>30.000000000000004</v>
      </c>
      <c r="S33" s="32">
        <f t="shared" si="6"/>
        <v>1065.0000000000002</v>
      </c>
      <c r="T33" s="33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30"/>
      <c r="AF33" s="31">
        <f t="shared" si="8"/>
        <v>0</v>
      </c>
      <c r="AG33" s="32"/>
      <c r="AH33" s="32"/>
      <c r="AI33" s="32">
        <f t="shared" si="10"/>
        <v>0</v>
      </c>
      <c r="AJ33" s="33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30"/>
      <c r="AV33" s="31">
        <f t="shared" si="12"/>
        <v>0</v>
      </c>
    </row>
    <row r="34" spans="2:48" s="26" customFormat="1" x14ac:dyDescent="0.3">
      <c r="B34" s="34" t="s">
        <v>37</v>
      </c>
      <c r="C34" s="35">
        <f>+C35+C36+C37+C38</f>
        <v>11982627.040000001</v>
      </c>
      <c r="D34" s="35">
        <f>SUM(D35:D38)</f>
        <v>998552.25333333341</v>
      </c>
      <c r="E34" s="35">
        <f t="shared" ref="E34:R34" si="106">SUM(E35:E38)</f>
        <v>998552.25333333341</v>
      </c>
      <c r="F34" s="35">
        <f t="shared" si="106"/>
        <v>998552.25333333341</v>
      </c>
      <c r="G34" s="35">
        <f t="shared" si="106"/>
        <v>998552.25333333341</v>
      </c>
      <c r="H34" s="35">
        <f t="shared" si="106"/>
        <v>998552.25333333341</v>
      </c>
      <c r="I34" s="35">
        <f t="shared" si="106"/>
        <v>998552.25333333341</v>
      </c>
      <c r="J34" s="35">
        <f t="shared" si="106"/>
        <v>998552.25333333341</v>
      </c>
      <c r="K34" s="35">
        <f t="shared" si="106"/>
        <v>998552.25333333341</v>
      </c>
      <c r="L34" s="35">
        <f t="shared" si="106"/>
        <v>998552.25333333341</v>
      </c>
      <c r="M34" s="35">
        <f t="shared" si="106"/>
        <v>998552.25333333341</v>
      </c>
      <c r="N34" s="35">
        <f t="shared" si="106"/>
        <v>998552.25333333341</v>
      </c>
      <c r="O34" s="37">
        <f t="shared" si="106"/>
        <v>998552.25333333341</v>
      </c>
      <c r="P34" s="72">
        <f t="shared" si="4"/>
        <v>11982627.040000005</v>
      </c>
      <c r="Q34" s="24">
        <f t="shared" si="106"/>
        <v>419320.77179999999</v>
      </c>
      <c r="R34" s="24">
        <f t="shared" si="106"/>
        <v>359417.80439999996</v>
      </c>
      <c r="S34" s="24">
        <f t="shared" si="6"/>
        <v>12761365.616200006</v>
      </c>
      <c r="T34" s="38">
        <f t="shared" ref="T34:AE34" si="107">SUM(T35:T38)</f>
        <v>1061768.92135</v>
      </c>
      <c r="U34" s="35">
        <f t="shared" si="107"/>
        <v>1061768.92135</v>
      </c>
      <c r="V34" s="35">
        <f t="shared" si="107"/>
        <v>1061768.92135</v>
      </c>
      <c r="W34" s="35">
        <f t="shared" si="107"/>
        <v>1061768.92135</v>
      </c>
      <c r="X34" s="35">
        <f t="shared" si="107"/>
        <v>1061768.92135</v>
      </c>
      <c r="Y34" s="35">
        <f t="shared" si="107"/>
        <v>1061768.92135</v>
      </c>
      <c r="Z34" s="35">
        <f t="shared" si="107"/>
        <v>1061768.92135</v>
      </c>
      <c r="AA34" s="35">
        <f t="shared" si="107"/>
        <v>1061768.92135</v>
      </c>
      <c r="AB34" s="35">
        <f t="shared" si="107"/>
        <v>1061768.92135</v>
      </c>
      <c r="AC34" s="35">
        <f t="shared" si="107"/>
        <v>1061768.92135</v>
      </c>
      <c r="AD34" s="35">
        <f t="shared" si="107"/>
        <v>1061768.92135</v>
      </c>
      <c r="AE34" s="36">
        <f t="shared" si="107"/>
        <v>1061768.92135</v>
      </c>
      <c r="AF34" s="37">
        <f t="shared" si="8"/>
        <v>12741227.056200003</v>
      </c>
      <c r="AG34" s="24">
        <f t="shared" ref="AG34:AH34" si="108">SUM(AG35:AG38)</f>
        <v>445942.94696700014</v>
      </c>
      <c r="AH34" s="24">
        <f t="shared" si="108"/>
        <v>382236.81168600009</v>
      </c>
      <c r="AI34" s="24">
        <f t="shared" si="10"/>
        <v>13569406.814853003</v>
      </c>
      <c r="AJ34" s="38">
        <f t="shared" ref="AJ34:AU34" si="109">SUM(AJ35:AJ38)</f>
        <v>1130783.9012377502</v>
      </c>
      <c r="AK34" s="35">
        <f t="shared" si="109"/>
        <v>1130783.9012377502</v>
      </c>
      <c r="AL34" s="35">
        <f t="shared" si="109"/>
        <v>1130783.9012377502</v>
      </c>
      <c r="AM34" s="35">
        <f t="shared" si="109"/>
        <v>1130783.9012377502</v>
      </c>
      <c r="AN34" s="35">
        <f t="shared" si="109"/>
        <v>1130783.9012377502</v>
      </c>
      <c r="AO34" s="35">
        <f t="shared" si="109"/>
        <v>1130783.9012377502</v>
      </c>
      <c r="AP34" s="35">
        <f t="shared" si="109"/>
        <v>1130783.9012377502</v>
      </c>
      <c r="AQ34" s="35">
        <f t="shared" si="109"/>
        <v>1130783.9012377502</v>
      </c>
      <c r="AR34" s="35">
        <f t="shared" si="109"/>
        <v>1130783.9012377502</v>
      </c>
      <c r="AS34" s="35">
        <f t="shared" si="109"/>
        <v>1130783.9012377502</v>
      </c>
      <c r="AT34" s="35">
        <f t="shared" si="109"/>
        <v>1130783.9012377502</v>
      </c>
      <c r="AU34" s="36">
        <f t="shared" si="109"/>
        <v>1130783.9012377502</v>
      </c>
      <c r="AV34" s="37">
        <f t="shared" si="12"/>
        <v>13569406.814853003</v>
      </c>
    </row>
    <row r="35" spans="2:48" x14ac:dyDescent="0.3">
      <c r="B35" s="27" t="s">
        <v>37</v>
      </c>
      <c r="C35" s="28">
        <v>11963593.48</v>
      </c>
      <c r="D35" s="29">
        <f>$C$35/12</f>
        <v>996966.12333333341</v>
      </c>
      <c r="E35" s="29">
        <f t="shared" ref="E35:O35" si="110">$C$35/12</f>
        <v>996966.12333333341</v>
      </c>
      <c r="F35" s="29">
        <f t="shared" si="110"/>
        <v>996966.12333333341</v>
      </c>
      <c r="G35" s="29">
        <f t="shared" si="110"/>
        <v>996966.12333333341</v>
      </c>
      <c r="H35" s="29">
        <f t="shared" si="110"/>
        <v>996966.12333333341</v>
      </c>
      <c r="I35" s="29">
        <f t="shared" si="110"/>
        <v>996966.12333333341</v>
      </c>
      <c r="J35" s="29">
        <f t="shared" si="110"/>
        <v>996966.12333333341</v>
      </c>
      <c r="K35" s="29">
        <f t="shared" si="110"/>
        <v>996966.12333333341</v>
      </c>
      <c r="L35" s="29">
        <f t="shared" si="110"/>
        <v>996966.12333333341</v>
      </c>
      <c r="M35" s="29">
        <f t="shared" si="110"/>
        <v>996966.12333333341</v>
      </c>
      <c r="N35" s="29">
        <f t="shared" si="110"/>
        <v>996966.12333333341</v>
      </c>
      <c r="O35" s="31">
        <f t="shared" si="110"/>
        <v>996966.12333333341</v>
      </c>
      <c r="P35" s="71">
        <f t="shared" si="4"/>
        <v>11963593.479999999</v>
      </c>
      <c r="Q35" s="32">
        <f t="shared" si="14"/>
        <v>418725.77179999999</v>
      </c>
      <c r="R35" s="32">
        <f t="shared" si="15"/>
        <v>358907.80439999996</v>
      </c>
      <c r="S35" s="32">
        <f t="shared" si="6"/>
        <v>12741227.0562</v>
      </c>
      <c r="T35" s="33">
        <f t="shared" ref="T35:AE35" si="111">$S35/12</f>
        <v>1061768.92135</v>
      </c>
      <c r="U35" s="29">
        <f t="shared" si="111"/>
        <v>1061768.92135</v>
      </c>
      <c r="V35" s="29">
        <f t="shared" si="111"/>
        <v>1061768.92135</v>
      </c>
      <c r="W35" s="29">
        <f t="shared" si="111"/>
        <v>1061768.92135</v>
      </c>
      <c r="X35" s="29">
        <f t="shared" si="111"/>
        <v>1061768.92135</v>
      </c>
      <c r="Y35" s="29">
        <f t="shared" si="111"/>
        <v>1061768.92135</v>
      </c>
      <c r="Z35" s="29">
        <f t="shared" si="111"/>
        <v>1061768.92135</v>
      </c>
      <c r="AA35" s="29">
        <f t="shared" si="111"/>
        <v>1061768.92135</v>
      </c>
      <c r="AB35" s="29">
        <f t="shared" si="111"/>
        <v>1061768.92135</v>
      </c>
      <c r="AC35" s="29">
        <f t="shared" si="111"/>
        <v>1061768.92135</v>
      </c>
      <c r="AD35" s="29">
        <f t="shared" si="111"/>
        <v>1061768.92135</v>
      </c>
      <c r="AE35" s="30">
        <f t="shared" si="111"/>
        <v>1061768.92135</v>
      </c>
      <c r="AF35" s="31">
        <f t="shared" si="8"/>
        <v>12741227.056200003</v>
      </c>
      <c r="AG35" s="32">
        <f>AF35*$AG$1</f>
        <v>445942.94696700014</v>
      </c>
      <c r="AH35" s="32">
        <f>AF35*$AH$1</f>
        <v>382236.81168600009</v>
      </c>
      <c r="AI35" s="32">
        <f t="shared" si="10"/>
        <v>13569406.814853003</v>
      </c>
      <c r="AJ35" s="33">
        <f>$AI35/12</f>
        <v>1130783.9012377502</v>
      </c>
      <c r="AK35" s="29">
        <f t="shared" ref="AK35:AU35" si="112">$AI35/12</f>
        <v>1130783.9012377502</v>
      </c>
      <c r="AL35" s="29">
        <f t="shared" si="112"/>
        <v>1130783.9012377502</v>
      </c>
      <c r="AM35" s="29">
        <f t="shared" si="112"/>
        <v>1130783.9012377502</v>
      </c>
      <c r="AN35" s="29">
        <f t="shared" si="112"/>
        <v>1130783.9012377502</v>
      </c>
      <c r="AO35" s="29">
        <f t="shared" si="112"/>
        <v>1130783.9012377502</v>
      </c>
      <c r="AP35" s="29">
        <f t="shared" si="112"/>
        <v>1130783.9012377502</v>
      </c>
      <c r="AQ35" s="29">
        <f t="shared" si="112"/>
        <v>1130783.9012377502</v>
      </c>
      <c r="AR35" s="29">
        <f t="shared" si="112"/>
        <v>1130783.9012377502</v>
      </c>
      <c r="AS35" s="29">
        <f t="shared" si="112"/>
        <v>1130783.9012377502</v>
      </c>
      <c r="AT35" s="29">
        <f t="shared" si="112"/>
        <v>1130783.9012377502</v>
      </c>
      <c r="AU35" s="30">
        <f t="shared" si="112"/>
        <v>1130783.9012377502</v>
      </c>
      <c r="AV35" s="31">
        <f t="shared" si="12"/>
        <v>13569406.814853003</v>
      </c>
    </row>
    <row r="36" spans="2:48" x14ac:dyDescent="0.3">
      <c r="B36" s="27" t="s">
        <v>52</v>
      </c>
      <c r="C36" s="28">
        <v>15000</v>
      </c>
      <c r="D36" s="29">
        <f>$C36/12</f>
        <v>1250</v>
      </c>
      <c r="E36" s="29">
        <f t="shared" ref="E36:O38" si="113">$C36/12</f>
        <v>1250</v>
      </c>
      <c r="F36" s="29">
        <f t="shared" si="113"/>
        <v>1250</v>
      </c>
      <c r="G36" s="29">
        <f t="shared" si="113"/>
        <v>1250</v>
      </c>
      <c r="H36" s="29">
        <f t="shared" si="113"/>
        <v>1250</v>
      </c>
      <c r="I36" s="29">
        <f t="shared" si="113"/>
        <v>1250</v>
      </c>
      <c r="J36" s="29">
        <f t="shared" si="113"/>
        <v>1250</v>
      </c>
      <c r="K36" s="29">
        <f t="shared" si="113"/>
        <v>1250</v>
      </c>
      <c r="L36" s="29">
        <f t="shared" si="113"/>
        <v>1250</v>
      </c>
      <c r="M36" s="29">
        <f t="shared" si="113"/>
        <v>1250</v>
      </c>
      <c r="N36" s="29">
        <f t="shared" si="113"/>
        <v>1250</v>
      </c>
      <c r="O36" s="31">
        <f t="shared" si="113"/>
        <v>1250</v>
      </c>
      <c r="P36" s="71">
        <f t="shared" si="4"/>
        <v>15000</v>
      </c>
      <c r="Q36" s="32">
        <f t="shared" si="14"/>
        <v>525</v>
      </c>
      <c r="R36" s="32">
        <f t="shared" si="15"/>
        <v>450</v>
      </c>
      <c r="S36" s="32">
        <f t="shared" si="6"/>
        <v>15975</v>
      </c>
      <c r="T36" s="33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31">
        <f t="shared" si="8"/>
        <v>0</v>
      </c>
      <c r="AG36" s="32"/>
      <c r="AH36" s="32"/>
      <c r="AI36" s="32">
        <f t="shared" si="10"/>
        <v>0</v>
      </c>
      <c r="AJ36" s="33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30"/>
      <c r="AV36" s="31">
        <f t="shared" si="12"/>
        <v>0</v>
      </c>
    </row>
    <row r="37" spans="2:48" x14ac:dyDescent="0.3">
      <c r="B37" s="27" t="s">
        <v>53</v>
      </c>
      <c r="C37" s="28">
        <v>2033.56</v>
      </c>
      <c r="D37" s="29">
        <f t="shared" ref="D37" si="114">$C37/12</f>
        <v>169.46333333333334</v>
      </c>
      <c r="E37" s="29">
        <f t="shared" si="113"/>
        <v>169.46333333333334</v>
      </c>
      <c r="F37" s="29">
        <f t="shared" si="113"/>
        <v>169.46333333333334</v>
      </c>
      <c r="G37" s="29">
        <f t="shared" si="113"/>
        <v>169.46333333333334</v>
      </c>
      <c r="H37" s="29">
        <f t="shared" si="113"/>
        <v>169.46333333333334</v>
      </c>
      <c r="I37" s="29">
        <f t="shared" si="113"/>
        <v>169.46333333333334</v>
      </c>
      <c r="J37" s="29">
        <f t="shared" si="113"/>
        <v>169.46333333333334</v>
      </c>
      <c r="K37" s="29">
        <f t="shared" si="113"/>
        <v>169.46333333333334</v>
      </c>
      <c r="L37" s="29">
        <f t="shared" si="113"/>
        <v>169.46333333333334</v>
      </c>
      <c r="M37" s="29">
        <f t="shared" si="113"/>
        <v>169.46333333333334</v>
      </c>
      <c r="N37" s="29">
        <f t="shared" si="113"/>
        <v>169.46333333333334</v>
      </c>
      <c r="O37" s="31">
        <f t="shared" si="113"/>
        <v>169.46333333333334</v>
      </c>
      <c r="P37" s="73">
        <f t="shared" si="4"/>
        <v>2033.5600000000002</v>
      </c>
      <c r="Q37" s="32"/>
      <c r="R37" s="32"/>
      <c r="S37" s="32"/>
      <c r="T37" s="33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30"/>
      <c r="AF37" s="31"/>
      <c r="AG37" s="32"/>
      <c r="AH37" s="32"/>
      <c r="AI37" s="32"/>
      <c r="AJ37" s="33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30"/>
      <c r="AV37" s="31"/>
    </row>
    <row r="38" spans="2:48" s="39" customFormat="1" ht="69" x14ac:dyDescent="0.3">
      <c r="B38" s="40" t="s">
        <v>57</v>
      </c>
      <c r="C38" s="41">
        <v>2000</v>
      </c>
      <c r="D38" s="42">
        <f>$C38/12</f>
        <v>166.66666666666666</v>
      </c>
      <c r="E38" s="42">
        <f t="shared" si="113"/>
        <v>166.66666666666666</v>
      </c>
      <c r="F38" s="42">
        <f t="shared" si="113"/>
        <v>166.66666666666666</v>
      </c>
      <c r="G38" s="42">
        <f t="shared" si="113"/>
        <v>166.66666666666666</v>
      </c>
      <c r="H38" s="42">
        <f t="shared" si="113"/>
        <v>166.66666666666666</v>
      </c>
      <c r="I38" s="42">
        <f t="shared" si="113"/>
        <v>166.66666666666666</v>
      </c>
      <c r="J38" s="42">
        <f t="shared" si="113"/>
        <v>166.66666666666666</v>
      </c>
      <c r="K38" s="42">
        <f t="shared" si="113"/>
        <v>166.66666666666666</v>
      </c>
      <c r="L38" s="42">
        <f t="shared" si="113"/>
        <v>166.66666666666666</v>
      </c>
      <c r="M38" s="42">
        <f t="shared" si="113"/>
        <v>166.66666666666666</v>
      </c>
      <c r="N38" s="42">
        <f t="shared" si="113"/>
        <v>166.66666666666666</v>
      </c>
      <c r="O38" s="44">
        <f t="shared" si="113"/>
        <v>166.66666666666666</v>
      </c>
      <c r="P38" s="73">
        <f t="shared" si="4"/>
        <v>2000.0000000000002</v>
      </c>
      <c r="Q38" s="45">
        <f t="shared" si="14"/>
        <v>70.000000000000014</v>
      </c>
      <c r="R38" s="45">
        <f t="shared" si="15"/>
        <v>60.000000000000007</v>
      </c>
      <c r="S38" s="45">
        <f t="shared" si="6"/>
        <v>2130.0000000000005</v>
      </c>
      <c r="T38" s="46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3"/>
      <c r="AF38" s="44">
        <f t="shared" si="8"/>
        <v>0</v>
      </c>
      <c r="AG38" s="45"/>
      <c r="AH38" s="45"/>
      <c r="AI38" s="45">
        <f t="shared" si="10"/>
        <v>0</v>
      </c>
      <c r="AJ38" s="46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3"/>
      <c r="AV38" s="44">
        <f t="shared" si="12"/>
        <v>0</v>
      </c>
    </row>
    <row r="39" spans="2:48" s="26" customFormat="1" ht="27.6" x14ac:dyDescent="0.3">
      <c r="B39" s="34" t="s">
        <v>59</v>
      </c>
      <c r="C39" s="35">
        <f>SUM(C40:C42)</f>
        <v>0</v>
      </c>
      <c r="D39" s="35">
        <f>SUM(D40:D48)</f>
        <v>0</v>
      </c>
      <c r="E39" s="35">
        <f t="shared" ref="E39:R39" si="115">SUM(E40:E42)</f>
        <v>0</v>
      </c>
      <c r="F39" s="35">
        <f t="shared" si="115"/>
        <v>0</v>
      </c>
      <c r="G39" s="35">
        <f t="shared" si="115"/>
        <v>0</v>
      </c>
      <c r="H39" s="35">
        <f t="shared" si="115"/>
        <v>0</v>
      </c>
      <c r="I39" s="35">
        <f t="shared" si="115"/>
        <v>0</v>
      </c>
      <c r="J39" s="35">
        <f t="shared" si="115"/>
        <v>0</v>
      </c>
      <c r="K39" s="35">
        <f t="shared" si="115"/>
        <v>0</v>
      </c>
      <c r="L39" s="35">
        <f t="shared" si="115"/>
        <v>0</v>
      </c>
      <c r="M39" s="35">
        <f t="shared" si="115"/>
        <v>0</v>
      </c>
      <c r="N39" s="35">
        <f t="shared" si="115"/>
        <v>0</v>
      </c>
      <c r="O39" s="37">
        <f t="shared" si="115"/>
        <v>0</v>
      </c>
      <c r="P39" s="72">
        <f t="shared" si="4"/>
        <v>0</v>
      </c>
      <c r="Q39" s="24">
        <f t="shared" si="115"/>
        <v>0</v>
      </c>
      <c r="R39" s="24">
        <f t="shared" si="115"/>
        <v>0</v>
      </c>
      <c r="S39" s="24">
        <f t="shared" si="6"/>
        <v>0</v>
      </c>
      <c r="T39" s="38">
        <f t="shared" ref="T39:AE39" si="116">SUM(T40:T42)</f>
        <v>0</v>
      </c>
      <c r="U39" s="35">
        <f t="shared" si="116"/>
        <v>0</v>
      </c>
      <c r="V39" s="35">
        <f t="shared" si="116"/>
        <v>0</v>
      </c>
      <c r="W39" s="35">
        <f t="shared" si="116"/>
        <v>0</v>
      </c>
      <c r="X39" s="35">
        <f t="shared" si="116"/>
        <v>0</v>
      </c>
      <c r="Y39" s="35">
        <f t="shared" si="116"/>
        <v>0</v>
      </c>
      <c r="Z39" s="35">
        <f t="shared" si="116"/>
        <v>0</v>
      </c>
      <c r="AA39" s="35">
        <f t="shared" si="116"/>
        <v>0</v>
      </c>
      <c r="AB39" s="35">
        <f t="shared" si="116"/>
        <v>0</v>
      </c>
      <c r="AC39" s="35">
        <f t="shared" si="116"/>
        <v>0</v>
      </c>
      <c r="AD39" s="35">
        <f t="shared" si="116"/>
        <v>0</v>
      </c>
      <c r="AE39" s="36">
        <f t="shared" si="116"/>
        <v>0</v>
      </c>
      <c r="AF39" s="37">
        <f t="shared" si="8"/>
        <v>0</v>
      </c>
      <c r="AG39" s="24">
        <f t="shared" ref="AG39:AH39" si="117">SUM(AG40:AG42)</f>
        <v>0</v>
      </c>
      <c r="AH39" s="24">
        <f t="shared" si="117"/>
        <v>0</v>
      </c>
      <c r="AI39" s="24">
        <f t="shared" si="10"/>
        <v>0</v>
      </c>
      <c r="AJ39" s="38">
        <f t="shared" ref="AJ39:AU39" si="118">SUM(AJ40:AJ42)</f>
        <v>0</v>
      </c>
      <c r="AK39" s="35">
        <f t="shared" si="118"/>
        <v>0</v>
      </c>
      <c r="AL39" s="35">
        <f t="shared" si="118"/>
        <v>0</v>
      </c>
      <c r="AM39" s="35">
        <f t="shared" si="118"/>
        <v>0</v>
      </c>
      <c r="AN39" s="35">
        <f t="shared" si="118"/>
        <v>0</v>
      </c>
      <c r="AO39" s="35">
        <f t="shared" si="118"/>
        <v>0</v>
      </c>
      <c r="AP39" s="35">
        <f t="shared" si="118"/>
        <v>0</v>
      </c>
      <c r="AQ39" s="35">
        <f t="shared" si="118"/>
        <v>0</v>
      </c>
      <c r="AR39" s="35">
        <f t="shared" si="118"/>
        <v>0</v>
      </c>
      <c r="AS39" s="35">
        <f t="shared" si="118"/>
        <v>0</v>
      </c>
      <c r="AT39" s="35">
        <f t="shared" si="118"/>
        <v>0</v>
      </c>
      <c r="AU39" s="36">
        <f t="shared" si="118"/>
        <v>0</v>
      </c>
      <c r="AV39" s="37">
        <f t="shared" si="12"/>
        <v>0</v>
      </c>
    </row>
    <row r="40" spans="2:48" s="39" customFormat="1" ht="55.2" x14ac:dyDescent="0.3">
      <c r="B40" s="40" t="s">
        <v>68</v>
      </c>
      <c r="C40" s="47">
        <v>0</v>
      </c>
      <c r="D40" s="42">
        <f>$C40/12</f>
        <v>0</v>
      </c>
      <c r="E40" s="42">
        <f t="shared" ref="E40:O40" si="119">$C40/12</f>
        <v>0</v>
      </c>
      <c r="F40" s="42">
        <f t="shared" si="119"/>
        <v>0</v>
      </c>
      <c r="G40" s="42">
        <f t="shared" si="119"/>
        <v>0</v>
      </c>
      <c r="H40" s="42">
        <f t="shared" si="119"/>
        <v>0</v>
      </c>
      <c r="I40" s="42">
        <f t="shared" si="119"/>
        <v>0</v>
      </c>
      <c r="J40" s="42">
        <f t="shared" si="119"/>
        <v>0</v>
      </c>
      <c r="K40" s="42">
        <f t="shared" si="119"/>
        <v>0</v>
      </c>
      <c r="L40" s="42">
        <f t="shared" si="119"/>
        <v>0</v>
      </c>
      <c r="M40" s="42">
        <f t="shared" si="119"/>
        <v>0</v>
      </c>
      <c r="N40" s="42">
        <f t="shared" si="119"/>
        <v>0</v>
      </c>
      <c r="O40" s="44">
        <f t="shared" si="119"/>
        <v>0</v>
      </c>
      <c r="P40" s="73">
        <f t="shared" si="4"/>
        <v>0</v>
      </c>
      <c r="Q40" s="45">
        <f t="shared" si="14"/>
        <v>0</v>
      </c>
      <c r="R40" s="45">
        <f t="shared" si="15"/>
        <v>0</v>
      </c>
      <c r="S40" s="45">
        <f t="shared" si="6"/>
        <v>0</v>
      </c>
      <c r="T40" s="46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3"/>
      <c r="AF40" s="44">
        <f t="shared" si="8"/>
        <v>0</v>
      </c>
      <c r="AG40" s="45"/>
      <c r="AH40" s="45"/>
      <c r="AI40" s="45">
        <f t="shared" si="10"/>
        <v>0</v>
      </c>
      <c r="AJ40" s="46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3"/>
      <c r="AV40" s="44">
        <f t="shared" si="12"/>
        <v>0</v>
      </c>
    </row>
    <row r="41" spans="2:48" ht="41.4" x14ac:dyDescent="0.3">
      <c r="B41" s="27" t="s">
        <v>69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31">
        <v>0</v>
      </c>
      <c r="P41" s="71">
        <f t="shared" si="4"/>
        <v>0</v>
      </c>
      <c r="Q41" s="32">
        <f t="shared" si="14"/>
        <v>0</v>
      </c>
      <c r="R41" s="32">
        <f t="shared" si="15"/>
        <v>0</v>
      </c>
      <c r="S41" s="32">
        <f t="shared" si="6"/>
        <v>0</v>
      </c>
      <c r="T41" s="33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30"/>
      <c r="AF41" s="31">
        <f t="shared" si="8"/>
        <v>0</v>
      </c>
      <c r="AG41" s="32"/>
      <c r="AH41" s="32"/>
      <c r="AI41" s="32">
        <f t="shared" si="10"/>
        <v>0</v>
      </c>
      <c r="AJ41" s="33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30"/>
      <c r="AV41" s="31">
        <f t="shared" si="12"/>
        <v>0</v>
      </c>
    </row>
    <row r="42" spans="2:48" ht="69" x14ac:dyDescent="0.3">
      <c r="B42" s="27" t="s">
        <v>70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31">
        <v>0</v>
      </c>
      <c r="P42" s="71">
        <f t="shared" si="4"/>
        <v>0</v>
      </c>
      <c r="Q42" s="32">
        <f t="shared" si="14"/>
        <v>0</v>
      </c>
      <c r="R42" s="32">
        <f t="shared" si="15"/>
        <v>0</v>
      </c>
      <c r="S42" s="32">
        <f t="shared" si="6"/>
        <v>0</v>
      </c>
      <c r="T42" s="33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0"/>
      <c r="AF42" s="31">
        <f t="shared" si="8"/>
        <v>0</v>
      </c>
      <c r="AG42" s="32"/>
      <c r="AH42" s="32"/>
      <c r="AI42" s="32">
        <f t="shared" si="10"/>
        <v>0</v>
      </c>
      <c r="AJ42" s="33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30"/>
      <c r="AV42" s="31">
        <f t="shared" si="12"/>
        <v>0</v>
      </c>
    </row>
    <row r="43" spans="2:48" ht="55.2" x14ac:dyDescent="0.3">
      <c r="B43" s="27" t="s">
        <v>71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31">
        <v>0</v>
      </c>
      <c r="P43" s="71">
        <f t="shared" ref="P43:P48" si="120">SUM(D43:O43)</f>
        <v>0</v>
      </c>
      <c r="Q43" s="32"/>
      <c r="R43" s="32"/>
      <c r="S43" s="32"/>
      <c r="T43" s="33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30"/>
      <c r="AF43" s="31"/>
      <c r="AG43" s="32"/>
      <c r="AH43" s="32"/>
      <c r="AI43" s="32"/>
      <c r="AJ43" s="33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30"/>
      <c r="AV43" s="31"/>
    </row>
    <row r="44" spans="2:48" ht="55.2" x14ac:dyDescent="0.3">
      <c r="B44" s="27" t="s">
        <v>72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31">
        <v>0</v>
      </c>
      <c r="P44" s="71">
        <f t="shared" si="120"/>
        <v>0</v>
      </c>
      <c r="Q44" s="32"/>
      <c r="R44" s="32"/>
      <c r="S44" s="32"/>
      <c r="T44" s="33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30"/>
      <c r="AF44" s="31"/>
      <c r="AG44" s="32"/>
      <c r="AH44" s="32"/>
      <c r="AI44" s="32"/>
      <c r="AJ44" s="33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30"/>
      <c r="AV44" s="31"/>
    </row>
    <row r="45" spans="2:48" ht="55.2" x14ac:dyDescent="0.3">
      <c r="B45" s="27" t="s">
        <v>73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31">
        <v>0</v>
      </c>
      <c r="P45" s="71">
        <f t="shared" si="120"/>
        <v>0</v>
      </c>
      <c r="Q45" s="32"/>
      <c r="R45" s="32"/>
      <c r="S45" s="32"/>
      <c r="T45" s="33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30"/>
      <c r="AF45" s="31"/>
      <c r="AG45" s="32"/>
      <c r="AH45" s="32"/>
      <c r="AI45" s="32"/>
      <c r="AJ45" s="33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30"/>
      <c r="AV45" s="31"/>
    </row>
    <row r="46" spans="2:48" ht="55.2" x14ac:dyDescent="0.3">
      <c r="B46" s="27" t="s">
        <v>74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31">
        <v>0</v>
      </c>
      <c r="P46" s="71">
        <f t="shared" si="120"/>
        <v>0</v>
      </c>
      <c r="Q46" s="32"/>
      <c r="R46" s="32"/>
      <c r="S46" s="32"/>
      <c r="T46" s="33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30"/>
      <c r="AF46" s="31"/>
      <c r="AG46" s="32"/>
      <c r="AH46" s="32"/>
      <c r="AI46" s="32"/>
      <c r="AJ46" s="33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30"/>
      <c r="AV46" s="31"/>
    </row>
    <row r="47" spans="2:48" ht="41.4" x14ac:dyDescent="0.3">
      <c r="B47" s="27" t="s">
        <v>75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31">
        <v>0</v>
      </c>
      <c r="P47" s="71">
        <f t="shared" si="120"/>
        <v>0</v>
      </c>
      <c r="Q47" s="32"/>
      <c r="R47" s="32"/>
      <c r="S47" s="32"/>
      <c r="T47" s="33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30"/>
      <c r="AF47" s="31"/>
      <c r="AG47" s="32"/>
      <c r="AH47" s="32"/>
      <c r="AI47" s="32"/>
      <c r="AJ47" s="33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30"/>
      <c r="AV47" s="31"/>
    </row>
    <row r="48" spans="2:48" x14ac:dyDescent="0.3">
      <c r="B48" s="27" t="s">
        <v>76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31">
        <v>0</v>
      </c>
      <c r="P48" s="71">
        <f t="shared" si="120"/>
        <v>0</v>
      </c>
      <c r="Q48" s="32"/>
      <c r="R48" s="32"/>
      <c r="S48" s="32"/>
      <c r="T48" s="33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30"/>
      <c r="AF48" s="31"/>
      <c r="AG48" s="32"/>
      <c r="AH48" s="32"/>
      <c r="AI48" s="32"/>
      <c r="AJ48" s="33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30"/>
      <c r="AV48" s="31"/>
    </row>
    <row r="49" spans="2:48" s="26" customFormat="1" x14ac:dyDescent="0.3">
      <c r="B49" s="34" t="s">
        <v>38</v>
      </c>
      <c r="C49" s="35">
        <f t="shared" ref="C49:O49" si="121">SUM(C50:C54)</f>
        <v>430537609</v>
      </c>
      <c r="D49" s="35">
        <f t="shared" si="121"/>
        <v>35627052.390603475</v>
      </c>
      <c r="E49" s="35">
        <f t="shared" si="121"/>
        <v>39909546.93188338</v>
      </c>
      <c r="F49" s="35">
        <f t="shared" si="121"/>
        <v>36490439.835573792</v>
      </c>
      <c r="G49" s="35">
        <f t="shared" si="121"/>
        <v>36967587.942820653</v>
      </c>
      <c r="H49" s="35">
        <f t="shared" si="121"/>
        <v>35711485.67745667</v>
      </c>
      <c r="I49" s="35">
        <f t="shared" si="121"/>
        <v>35028167.053147219</v>
      </c>
      <c r="J49" s="35">
        <f t="shared" si="121"/>
        <v>35115320.22712104</v>
      </c>
      <c r="K49" s="35">
        <f t="shared" si="121"/>
        <v>34912385.914734215</v>
      </c>
      <c r="L49" s="35">
        <f t="shared" si="121"/>
        <v>35622380.946057305</v>
      </c>
      <c r="M49" s="35">
        <f t="shared" si="121"/>
        <v>35873203.711679906</v>
      </c>
      <c r="N49" s="35">
        <f t="shared" si="121"/>
        <v>34388526.435344443</v>
      </c>
      <c r="O49" s="37">
        <f t="shared" si="121"/>
        <v>34891511.93357791</v>
      </c>
      <c r="P49" s="72">
        <f>SUM(D49:O49)</f>
        <v>430537609</v>
      </c>
      <c r="Q49" s="24">
        <f t="shared" ref="Q49:R49" si="122">SUM(Q50:Q52)</f>
        <v>14893015.165000005</v>
      </c>
      <c r="R49" s="24">
        <f t="shared" si="122"/>
        <v>0</v>
      </c>
      <c r="S49" s="24">
        <f t="shared" si="6"/>
        <v>445430624.16500002</v>
      </c>
      <c r="T49" s="38">
        <f t="shared" ref="T49:AE49" si="123">SUM(T50:T52)</f>
        <v>36440774.96177461</v>
      </c>
      <c r="U49" s="35">
        <f t="shared" si="123"/>
        <v>40873156.811999306</v>
      </c>
      <c r="V49" s="35">
        <f t="shared" si="123"/>
        <v>37334380.967318878</v>
      </c>
      <c r="W49" s="35">
        <f t="shared" si="123"/>
        <v>37828229.258319385</v>
      </c>
      <c r="X49" s="35">
        <f t="shared" si="123"/>
        <v>36528163.413667664</v>
      </c>
      <c r="Y49" s="35">
        <f t="shared" si="123"/>
        <v>35820928.637507372</v>
      </c>
      <c r="Z49" s="35">
        <f t="shared" si="123"/>
        <v>35911132.172570288</v>
      </c>
      <c r="AA49" s="35">
        <f t="shared" si="123"/>
        <v>35701095.159249917</v>
      </c>
      <c r="AB49" s="35">
        <f t="shared" si="123"/>
        <v>36435940.016669318</v>
      </c>
      <c r="AC49" s="35">
        <f t="shared" si="123"/>
        <v>36695541.57908871</v>
      </c>
      <c r="AD49" s="35">
        <f t="shared" si="123"/>
        <v>35158900.598081499</v>
      </c>
      <c r="AE49" s="36">
        <f t="shared" si="123"/>
        <v>35679490.588753149</v>
      </c>
      <c r="AF49" s="37">
        <f t="shared" si="8"/>
        <v>440407734.16500014</v>
      </c>
      <c r="AG49" s="24">
        <f t="shared" ref="AG49:AH49" si="124">SUM(AG50:AG52)</f>
        <v>15414270.695775002</v>
      </c>
      <c r="AH49" s="24">
        <f t="shared" si="124"/>
        <v>0</v>
      </c>
      <c r="AI49" s="24">
        <f t="shared" si="10"/>
        <v>455822004.86077511</v>
      </c>
      <c r="AJ49" s="38">
        <f t="shared" ref="AJ49:AU49" si="125">SUM(AJ50:AJ52)</f>
        <v>37716202.085436717</v>
      </c>
      <c r="AK49" s="35">
        <f t="shared" si="125"/>
        <v>42303717.300419286</v>
      </c>
      <c r="AL49" s="35">
        <f t="shared" si="125"/>
        <v>38641084.301175036</v>
      </c>
      <c r="AM49" s="35">
        <f t="shared" si="125"/>
        <v>39152217.282360561</v>
      </c>
      <c r="AN49" s="35">
        <f t="shared" si="125"/>
        <v>37806649.133146025</v>
      </c>
      <c r="AO49" s="35">
        <f t="shared" si="125"/>
        <v>37074661.139820129</v>
      </c>
      <c r="AP49" s="35">
        <f t="shared" si="125"/>
        <v>37168021.798610248</v>
      </c>
      <c r="AQ49" s="35">
        <f t="shared" si="125"/>
        <v>36950633.489823662</v>
      </c>
      <c r="AR49" s="35">
        <f t="shared" si="125"/>
        <v>37711197.917252742</v>
      </c>
      <c r="AS49" s="35">
        <f t="shared" si="125"/>
        <v>37979885.53435681</v>
      </c>
      <c r="AT49" s="35">
        <f t="shared" si="125"/>
        <v>36389462.119014353</v>
      </c>
      <c r="AU49" s="36">
        <f t="shared" si="125"/>
        <v>36928272.759359501</v>
      </c>
      <c r="AV49" s="37">
        <f t="shared" si="12"/>
        <v>455822004.86077499</v>
      </c>
    </row>
    <row r="50" spans="2:48" x14ac:dyDescent="0.3">
      <c r="B50" s="27" t="s">
        <v>39</v>
      </c>
      <c r="C50" s="28">
        <v>265679247</v>
      </c>
      <c r="D50" s="29">
        <f>0.082388277610822*C50</f>
        <v>21888855.557270147</v>
      </c>
      <c r="E50" s="29">
        <f>0.0985073181065966*C50</f>
        <v>26171350.098550051</v>
      </c>
      <c r="F50" s="29">
        <f>0.0856380137295423*C50</f>
        <v>22752243.00224046</v>
      </c>
      <c r="G50" s="29">
        <f>0.0874339692384303*C50</f>
        <v>23229391.109487325</v>
      </c>
      <c r="H50" s="29">
        <f>0.0827060791997929*C50</f>
        <v>21973288.844123341</v>
      </c>
      <c r="I50" s="29">
        <f>0.0801341108130056*C50</f>
        <v>21289970.219813887</v>
      </c>
      <c r="J50" s="29">
        <f>0.0804621498862789*C50</f>
        <v>21377123.393787712</v>
      </c>
      <c r="K50" s="29">
        <f>0.0796983178795327*C50</f>
        <v>21174189.081400886</v>
      </c>
      <c r="L50" s="29">
        <f>0.0823706945869354*C50</f>
        <v>21884184.112723973</v>
      </c>
      <c r="M50" s="29">
        <f>0.0833147757240767*C50</f>
        <v>22135006.878346577</v>
      </c>
      <c r="N50" s="29">
        <f>0.0777265436995578*C50</f>
        <v>20650329.602011111</v>
      </c>
      <c r="O50" s="31">
        <f>0.079619749525429*C50</f>
        <v>21153315.100244582</v>
      </c>
      <c r="P50" s="71">
        <f t="shared" si="4"/>
        <v>265679247.00000009</v>
      </c>
      <c r="Q50" s="32">
        <f t="shared" si="14"/>
        <v>9298773.6450000033</v>
      </c>
      <c r="R50" s="32"/>
      <c r="S50" s="32">
        <f t="shared" si="6"/>
        <v>274978020.6450001</v>
      </c>
      <c r="T50" s="33">
        <f>(D50/$P50)*$S50</f>
        <v>22654965.501774605</v>
      </c>
      <c r="U50" s="29">
        <f t="shared" ref="U50" si="126">(E50/$P50)*$S50</f>
        <v>27087347.351999305</v>
      </c>
      <c r="V50" s="29">
        <f t="shared" ref="V50" si="127">(F50/$P50)*$S50</f>
        <v>23548571.507318877</v>
      </c>
      <c r="W50" s="29">
        <f t="shared" ref="W50" si="128">(G50/$P50)*$S50</f>
        <v>24042419.798319381</v>
      </c>
      <c r="X50" s="29">
        <f t="shared" ref="X50" si="129">(H50/$P50)*$S50</f>
        <v>22742353.953667659</v>
      </c>
      <c r="Y50" s="29">
        <f t="shared" ref="Y50" si="130">(I50/$P50)*$S50</f>
        <v>22035119.177507371</v>
      </c>
      <c r="Z50" s="29">
        <f t="shared" ref="Z50" si="131">(J50/$P50)*$S50</f>
        <v>22125322.712570284</v>
      </c>
      <c r="AA50" s="29">
        <f t="shared" ref="AA50" si="132">(K50/$P50)*$S50</f>
        <v>21915285.699249916</v>
      </c>
      <c r="AB50" s="29">
        <f t="shared" ref="AB50" si="133">(L50/$P50)*$S50</f>
        <v>22650130.556669313</v>
      </c>
      <c r="AC50" s="29">
        <f t="shared" ref="AC50" si="134">(M50/$P50)*$S50</f>
        <v>22909732.119088706</v>
      </c>
      <c r="AD50" s="29">
        <f t="shared" ref="AD50" si="135">(N50/$P50)*$S50</f>
        <v>21373091.138081498</v>
      </c>
      <c r="AE50" s="30">
        <f t="shared" ref="AE50" si="136">(O50/$P50)*$S50</f>
        <v>21893681.128753144</v>
      </c>
      <c r="AF50" s="31">
        <f t="shared" si="8"/>
        <v>274978020.64500004</v>
      </c>
      <c r="AG50" s="32">
        <f>AF50*$AG$1</f>
        <v>9624230.7225750014</v>
      </c>
      <c r="AH50" s="32"/>
      <c r="AI50" s="32">
        <f t="shared" si="10"/>
        <v>284602251.36757505</v>
      </c>
      <c r="AJ50" s="33">
        <f>(T50/$AF50)*$AI50</f>
        <v>23447889.294336718</v>
      </c>
      <c r="AK50" s="29">
        <f t="shared" ref="AK50" si="137">(U50/$AF50)*$AI50</f>
        <v>28035404.509319283</v>
      </c>
      <c r="AL50" s="29">
        <f t="shared" ref="AL50" si="138">(V50/$AF50)*$AI50</f>
        <v>24372771.510075036</v>
      </c>
      <c r="AM50" s="29">
        <f t="shared" ref="AM50" si="139">(W50/$AF50)*$AI50</f>
        <v>24883904.491260558</v>
      </c>
      <c r="AN50" s="29">
        <f t="shared" ref="AN50" si="140">(X50/$AF50)*$AI50</f>
        <v>23538336.342046026</v>
      </c>
      <c r="AO50" s="29">
        <f t="shared" ref="AO50" si="141">(Y50/$AF50)*$AI50</f>
        <v>22806348.34872013</v>
      </c>
      <c r="AP50" s="29">
        <f t="shared" ref="AP50" si="142">(Z50/$AF50)*$AI50</f>
        <v>22899709.007510245</v>
      </c>
      <c r="AQ50" s="29">
        <f t="shared" ref="AQ50" si="143">(AA50/$AF50)*$AI50</f>
        <v>22682320.698723663</v>
      </c>
      <c r="AR50" s="29">
        <f t="shared" ref="AR50" si="144">(AB50/$AF50)*$AI50</f>
        <v>23442885.126152743</v>
      </c>
      <c r="AS50" s="29">
        <f t="shared" ref="AS50" si="145">(AC50/$AF50)*$AI50</f>
        <v>23711572.743256811</v>
      </c>
      <c r="AT50" s="29">
        <f t="shared" ref="AT50" si="146">(AD50/$AF50)*$AI50</f>
        <v>22121149.32791435</v>
      </c>
      <c r="AU50" s="30">
        <f t="shared" ref="AU50" si="147">(AE50/$AF50)*$AI50</f>
        <v>22659959.968259502</v>
      </c>
      <c r="AV50" s="31">
        <f t="shared" si="12"/>
        <v>284602251.36757505</v>
      </c>
    </row>
    <row r="51" spans="2:48" x14ac:dyDescent="0.3">
      <c r="B51" s="27" t="s">
        <v>40</v>
      </c>
      <c r="C51" s="28">
        <v>158220932</v>
      </c>
      <c r="D51" s="29">
        <f>$C$51/12</f>
        <v>13185077.666666666</v>
      </c>
      <c r="E51" s="29">
        <f t="shared" ref="E51:O51" si="148">$C$51/12</f>
        <v>13185077.666666666</v>
      </c>
      <c r="F51" s="29">
        <f t="shared" si="148"/>
        <v>13185077.666666666</v>
      </c>
      <c r="G51" s="29">
        <f t="shared" si="148"/>
        <v>13185077.666666666</v>
      </c>
      <c r="H51" s="29">
        <f t="shared" si="148"/>
        <v>13185077.666666666</v>
      </c>
      <c r="I51" s="29">
        <f t="shared" si="148"/>
        <v>13185077.666666666</v>
      </c>
      <c r="J51" s="29">
        <f t="shared" si="148"/>
        <v>13185077.666666666</v>
      </c>
      <c r="K51" s="29">
        <f t="shared" si="148"/>
        <v>13185077.666666666</v>
      </c>
      <c r="L51" s="29">
        <f t="shared" si="148"/>
        <v>13185077.666666666</v>
      </c>
      <c r="M51" s="29">
        <f t="shared" si="148"/>
        <v>13185077.666666666</v>
      </c>
      <c r="N51" s="29">
        <f t="shared" si="148"/>
        <v>13185077.666666666</v>
      </c>
      <c r="O51" s="31">
        <f t="shared" si="148"/>
        <v>13185077.666666666</v>
      </c>
      <c r="P51" s="71">
        <f t="shared" si="4"/>
        <v>158220932</v>
      </c>
      <c r="Q51" s="32">
        <f t="shared" si="14"/>
        <v>5537732.6200000001</v>
      </c>
      <c r="R51" s="32"/>
      <c r="S51" s="32">
        <f t="shared" si="6"/>
        <v>163758664.62</v>
      </c>
      <c r="T51" s="33">
        <f>$S$51/12</f>
        <v>13646555.385</v>
      </c>
      <c r="U51" s="29">
        <f t="shared" ref="U51:AE51" si="149">$S$51/12</f>
        <v>13646555.385</v>
      </c>
      <c r="V51" s="29">
        <f t="shared" si="149"/>
        <v>13646555.385</v>
      </c>
      <c r="W51" s="29">
        <f t="shared" si="149"/>
        <v>13646555.385</v>
      </c>
      <c r="X51" s="29">
        <f t="shared" si="149"/>
        <v>13646555.385</v>
      </c>
      <c r="Y51" s="29">
        <f t="shared" si="149"/>
        <v>13646555.385</v>
      </c>
      <c r="Z51" s="29">
        <f t="shared" si="149"/>
        <v>13646555.385</v>
      </c>
      <c r="AA51" s="29">
        <f t="shared" si="149"/>
        <v>13646555.385</v>
      </c>
      <c r="AB51" s="29">
        <f t="shared" si="149"/>
        <v>13646555.385</v>
      </c>
      <c r="AC51" s="29">
        <f t="shared" si="149"/>
        <v>13646555.385</v>
      </c>
      <c r="AD51" s="29">
        <f t="shared" si="149"/>
        <v>13646555.385</v>
      </c>
      <c r="AE51" s="30">
        <f t="shared" si="149"/>
        <v>13646555.385</v>
      </c>
      <c r="AF51" s="31">
        <f t="shared" si="8"/>
        <v>163758664.62</v>
      </c>
      <c r="AG51" s="32">
        <f>AF51*$AG$1</f>
        <v>5731553.2617000006</v>
      </c>
      <c r="AH51" s="32"/>
      <c r="AI51" s="32">
        <f t="shared" si="10"/>
        <v>169490217.88170001</v>
      </c>
      <c r="AJ51" s="33">
        <f>$AI$51/12</f>
        <v>14124184.823475001</v>
      </c>
      <c r="AK51" s="29">
        <f t="shared" ref="AK51:AU51" si="150">$AI$51/12</f>
        <v>14124184.823475001</v>
      </c>
      <c r="AL51" s="29">
        <f t="shared" si="150"/>
        <v>14124184.823475001</v>
      </c>
      <c r="AM51" s="29">
        <f t="shared" si="150"/>
        <v>14124184.823475001</v>
      </c>
      <c r="AN51" s="29">
        <f t="shared" si="150"/>
        <v>14124184.823475001</v>
      </c>
      <c r="AO51" s="29">
        <f t="shared" si="150"/>
        <v>14124184.823475001</v>
      </c>
      <c r="AP51" s="29">
        <f t="shared" si="150"/>
        <v>14124184.823475001</v>
      </c>
      <c r="AQ51" s="29">
        <f t="shared" si="150"/>
        <v>14124184.823475001</v>
      </c>
      <c r="AR51" s="29">
        <f t="shared" si="150"/>
        <v>14124184.823475001</v>
      </c>
      <c r="AS51" s="29">
        <f t="shared" si="150"/>
        <v>14124184.823475001</v>
      </c>
      <c r="AT51" s="29">
        <f t="shared" si="150"/>
        <v>14124184.823475001</v>
      </c>
      <c r="AU51" s="30">
        <f t="shared" si="150"/>
        <v>14124184.823475001</v>
      </c>
      <c r="AV51" s="31">
        <f t="shared" si="12"/>
        <v>169490217.88170001</v>
      </c>
    </row>
    <row r="52" spans="2:48" x14ac:dyDescent="0.3">
      <c r="B52" s="27" t="s">
        <v>41</v>
      </c>
      <c r="C52" s="28">
        <v>1614540</v>
      </c>
      <c r="D52" s="29">
        <f>$C$52/12</f>
        <v>134545</v>
      </c>
      <c r="E52" s="29">
        <f t="shared" ref="E52:O52" si="151">$C$52/12</f>
        <v>134545</v>
      </c>
      <c r="F52" s="29">
        <f t="shared" si="151"/>
        <v>134545</v>
      </c>
      <c r="G52" s="29">
        <f t="shared" si="151"/>
        <v>134545</v>
      </c>
      <c r="H52" s="29">
        <f t="shared" si="151"/>
        <v>134545</v>
      </c>
      <c r="I52" s="29">
        <f t="shared" si="151"/>
        <v>134545</v>
      </c>
      <c r="J52" s="29">
        <f t="shared" si="151"/>
        <v>134545</v>
      </c>
      <c r="K52" s="29">
        <f t="shared" si="151"/>
        <v>134545</v>
      </c>
      <c r="L52" s="29">
        <f t="shared" si="151"/>
        <v>134545</v>
      </c>
      <c r="M52" s="29">
        <f t="shared" si="151"/>
        <v>134545</v>
      </c>
      <c r="N52" s="29">
        <f t="shared" si="151"/>
        <v>134545</v>
      </c>
      <c r="O52" s="31">
        <f t="shared" si="151"/>
        <v>134545</v>
      </c>
      <c r="P52" s="71">
        <f t="shared" si="4"/>
        <v>1614540</v>
      </c>
      <c r="Q52" s="32">
        <f t="shared" si="14"/>
        <v>56508.900000000009</v>
      </c>
      <c r="R52" s="32"/>
      <c r="S52" s="32">
        <f t="shared" si="6"/>
        <v>1671048.9</v>
      </c>
      <c r="T52" s="33">
        <f>(D52/$P52)*$S52</f>
        <v>139254.07499999998</v>
      </c>
      <c r="U52" s="29">
        <f t="shared" ref="U52" si="152">(E52/$P52)*$S52</f>
        <v>139254.07499999998</v>
      </c>
      <c r="V52" s="29">
        <f t="shared" ref="V52" si="153">(F52/$P52)*$S52</f>
        <v>139254.07499999998</v>
      </c>
      <c r="W52" s="29">
        <f t="shared" ref="W52" si="154">(G52/$P52)*$S52</f>
        <v>139254.07499999998</v>
      </c>
      <c r="X52" s="29">
        <f t="shared" ref="X52" si="155">(H52/$P52)*$S52</f>
        <v>139254.07499999998</v>
      </c>
      <c r="Y52" s="29">
        <f t="shared" ref="Y52" si="156">(I52/$P52)*$S52</f>
        <v>139254.07499999998</v>
      </c>
      <c r="Z52" s="29">
        <f t="shared" ref="Z52" si="157">(J52/$P52)*$S52</f>
        <v>139254.07499999998</v>
      </c>
      <c r="AA52" s="29">
        <f t="shared" ref="AA52" si="158">(K52/$P52)*$S52</f>
        <v>139254.07499999998</v>
      </c>
      <c r="AB52" s="29">
        <f t="shared" ref="AB52" si="159">(L52/$P52)*$S52</f>
        <v>139254.07499999998</v>
      </c>
      <c r="AC52" s="29">
        <f t="shared" ref="AC52" si="160">(M52/$P52)*$S52</f>
        <v>139254.07499999998</v>
      </c>
      <c r="AD52" s="29">
        <f t="shared" ref="AD52" si="161">(N52/$P52)*$S52</f>
        <v>139254.07499999998</v>
      </c>
      <c r="AE52" s="30">
        <f t="shared" ref="AE52" si="162">(O52/$P52)*$S52</f>
        <v>139254.07499999998</v>
      </c>
      <c r="AF52" s="31">
        <f t="shared" si="8"/>
        <v>1671048.8999999997</v>
      </c>
      <c r="AG52" s="32">
        <f>AF52*$AG$1</f>
        <v>58486.711499999998</v>
      </c>
      <c r="AH52" s="32"/>
      <c r="AI52" s="32">
        <f t="shared" si="10"/>
        <v>1729535.6114999996</v>
      </c>
      <c r="AJ52" s="33">
        <f>(T52/$AF52)*$AI52</f>
        <v>144127.96762499999</v>
      </c>
      <c r="AK52" s="29">
        <f t="shared" ref="AK52" si="163">(U52/$AF52)*$AI52</f>
        <v>144127.96762499999</v>
      </c>
      <c r="AL52" s="29">
        <f t="shared" ref="AL52" si="164">(V52/$AF52)*$AI52</f>
        <v>144127.96762499999</v>
      </c>
      <c r="AM52" s="29">
        <f t="shared" ref="AM52" si="165">(W52/$AF52)*$AI52</f>
        <v>144127.96762499999</v>
      </c>
      <c r="AN52" s="29">
        <f t="shared" ref="AN52" si="166">(X52/$AF52)*$AI52</f>
        <v>144127.96762499999</v>
      </c>
      <c r="AO52" s="29">
        <f t="shared" ref="AO52" si="167">(Y52/$AF52)*$AI52</f>
        <v>144127.96762499999</v>
      </c>
      <c r="AP52" s="29">
        <f t="shared" ref="AP52" si="168">(Z52/$AF52)*$AI52</f>
        <v>144127.96762499999</v>
      </c>
      <c r="AQ52" s="29">
        <f t="shared" ref="AQ52" si="169">(AA52/$AF52)*$AI52</f>
        <v>144127.96762499999</v>
      </c>
      <c r="AR52" s="29">
        <f t="shared" ref="AR52" si="170">(AB52/$AF52)*$AI52</f>
        <v>144127.96762499999</v>
      </c>
      <c r="AS52" s="29">
        <f t="shared" ref="AS52" si="171">(AC52/$AF52)*$AI52</f>
        <v>144127.96762499999</v>
      </c>
      <c r="AT52" s="29">
        <f t="shared" ref="AT52" si="172">(AD52/$AF52)*$AI52</f>
        <v>144127.96762499999</v>
      </c>
      <c r="AU52" s="30">
        <f t="shared" ref="AU52" si="173">(AE52/$AF52)*$AI52</f>
        <v>144127.96762499999</v>
      </c>
      <c r="AV52" s="31">
        <f t="shared" si="12"/>
        <v>1729535.6115000003</v>
      </c>
    </row>
    <row r="53" spans="2:48" ht="27.6" x14ac:dyDescent="0.3">
      <c r="B53" s="27" t="s">
        <v>66</v>
      </c>
      <c r="C53" s="28">
        <v>5022890</v>
      </c>
      <c r="D53" s="29">
        <f>$C$53/12</f>
        <v>418574.16666666669</v>
      </c>
      <c r="E53" s="29">
        <f t="shared" ref="E53:O53" si="174">$C$53/12</f>
        <v>418574.16666666669</v>
      </c>
      <c r="F53" s="29">
        <f t="shared" si="174"/>
        <v>418574.16666666669</v>
      </c>
      <c r="G53" s="29">
        <f t="shared" si="174"/>
        <v>418574.16666666669</v>
      </c>
      <c r="H53" s="29">
        <f t="shared" si="174"/>
        <v>418574.16666666669</v>
      </c>
      <c r="I53" s="29">
        <f t="shared" si="174"/>
        <v>418574.16666666669</v>
      </c>
      <c r="J53" s="29">
        <f t="shared" si="174"/>
        <v>418574.16666666669</v>
      </c>
      <c r="K53" s="29">
        <f t="shared" si="174"/>
        <v>418574.16666666669</v>
      </c>
      <c r="L53" s="29">
        <f t="shared" si="174"/>
        <v>418574.16666666669</v>
      </c>
      <c r="M53" s="29">
        <f t="shared" si="174"/>
        <v>418574.16666666669</v>
      </c>
      <c r="N53" s="29">
        <f t="shared" si="174"/>
        <v>418574.16666666669</v>
      </c>
      <c r="O53" s="31">
        <f t="shared" si="174"/>
        <v>418574.16666666669</v>
      </c>
      <c r="P53" s="71">
        <f t="shared" si="4"/>
        <v>5022890</v>
      </c>
      <c r="Q53" s="32"/>
      <c r="R53" s="32"/>
      <c r="S53" s="32"/>
      <c r="T53" s="33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30"/>
      <c r="AF53" s="31"/>
      <c r="AG53" s="32"/>
      <c r="AH53" s="32"/>
      <c r="AI53" s="32"/>
      <c r="AJ53" s="33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30"/>
      <c r="AV53" s="31"/>
    </row>
    <row r="54" spans="2:48" x14ac:dyDescent="0.3">
      <c r="B54" s="27" t="s">
        <v>67</v>
      </c>
      <c r="C54" s="28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31">
        <v>0</v>
      </c>
      <c r="P54" s="71">
        <f t="shared" si="4"/>
        <v>0</v>
      </c>
      <c r="Q54" s="32"/>
      <c r="R54" s="32"/>
      <c r="S54" s="32"/>
      <c r="T54" s="33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30"/>
      <c r="AF54" s="31"/>
      <c r="AG54" s="32"/>
      <c r="AH54" s="32"/>
      <c r="AI54" s="32"/>
      <c r="AJ54" s="33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30"/>
      <c r="AV54" s="31"/>
    </row>
    <row r="55" spans="2:48" s="26" customFormat="1" ht="27.6" x14ac:dyDescent="0.3">
      <c r="B55" s="34" t="s">
        <v>63</v>
      </c>
      <c r="C55" s="35">
        <f>SUM(C56:C58)</f>
        <v>0</v>
      </c>
      <c r="D55" s="35">
        <f>SUM(D56:D59)</f>
        <v>0</v>
      </c>
      <c r="E55" s="35">
        <f t="shared" ref="E55:O55" si="175">SUM(E56:E58)</f>
        <v>0</v>
      </c>
      <c r="F55" s="35">
        <f t="shared" si="175"/>
        <v>0</v>
      </c>
      <c r="G55" s="35">
        <f t="shared" si="175"/>
        <v>0</v>
      </c>
      <c r="H55" s="35">
        <f t="shared" si="175"/>
        <v>0</v>
      </c>
      <c r="I55" s="35">
        <f t="shared" si="175"/>
        <v>0</v>
      </c>
      <c r="J55" s="35">
        <f t="shared" si="175"/>
        <v>0</v>
      </c>
      <c r="K55" s="35">
        <f t="shared" si="175"/>
        <v>0</v>
      </c>
      <c r="L55" s="35">
        <f t="shared" si="175"/>
        <v>0</v>
      </c>
      <c r="M55" s="35">
        <f t="shared" si="175"/>
        <v>0</v>
      </c>
      <c r="N55" s="35">
        <f t="shared" si="175"/>
        <v>0</v>
      </c>
      <c r="O55" s="37">
        <f t="shared" si="175"/>
        <v>0</v>
      </c>
      <c r="P55" s="72">
        <f t="shared" si="4"/>
        <v>0</v>
      </c>
      <c r="Q55" s="24">
        <f>SUM(Q56:Q58)</f>
        <v>0</v>
      </c>
      <c r="R55" s="24">
        <f>SUM(R56:R58)</f>
        <v>0</v>
      </c>
      <c r="S55" s="24">
        <f t="shared" si="6"/>
        <v>0</v>
      </c>
      <c r="T55" s="38">
        <f t="shared" ref="T55:AE55" si="176">SUM(T56:T58)</f>
        <v>0</v>
      </c>
      <c r="U55" s="35">
        <f t="shared" si="176"/>
        <v>0</v>
      </c>
      <c r="V55" s="35">
        <f t="shared" si="176"/>
        <v>0</v>
      </c>
      <c r="W55" s="35">
        <f t="shared" si="176"/>
        <v>0</v>
      </c>
      <c r="X55" s="35">
        <f t="shared" si="176"/>
        <v>0</v>
      </c>
      <c r="Y55" s="35">
        <f t="shared" si="176"/>
        <v>0</v>
      </c>
      <c r="Z55" s="35">
        <f t="shared" si="176"/>
        <v>0</v>
      </c>
      <c r="AA55" s="35">
        <f t="shared" si="176"/>
        <v>0</v>
      </c>
      <c r="AB55" s="35">
        <f t="shared" si="176"/>
        <v>0</v>
      </c>
      <c r="AC55" s="35">
        <f t="shared" si="176"/>
        <v>0</v>
      </c>
      <c r="AD55" s="35">
        <f t="shared" si="176"/>
        <v>0</v>
      </c>
      <c r="AE55" s="36">
        <f t="shared" si="176"/>
        <v>0</v>
      </c>
      <c r="AF55" s="37">
        <f t="shared" si="8"/>
        <v>0</v>
      </c>
      <c r="AG55" s="24">
        <f>SUM(AG56:AG58)</f>
        <v>0</v>
      </c>
      <c r="AH55" s="24">
        <f>SUM(AH56:AH58)</f>
        <v>0</v>
      </c>
      <c r="AI55" s="24">
        <f t="shared" si="10"/>
        <v>0</v>
      </c>
      <c r="AJ55" s="38">
        <f t="shared" ref="AJ55:AU55" si="177">SUM(AJ56:AJ58)</f>
        <v>0</v>
      </c>
      <c r="AK55" s="35">
        <f t="shared" si="177"/>
        <v>0</v>
      </c>
      <c r="AL55" s="35">
        <f t="shared" si="177"/>
        <v>0</v>
      </c>
      <c r="AM55" s="35">
        <f t="shared" si="177"/>
        <v>0</v>
      </c>
      <c r="AN55" s="35">
        <f t="shared" si="177"/>
        <v>0</v>
      </c>
      <c r="AO55" s="35">
        <f t="shared" si="177"/>
        <v>0</v>
      </c>
      <c r="AP55" s="35">
        <f t="shared" si="177"/>
        <v>0</v>
      </c>
      <c r="AQ55" s="35">
        <f t="shared" si="177"/>
        <v>0</v>
      </c>
      <c r="AR55" s="35">
        <f t="shared" si="177"/>
        <v>0</v>
      </c>
      <c r="AS55" s="35">
        <f t="shared" si="177"/>
        <v>0</v>
      </c>
      <c r="AT55" s="35">
        <f t="shared" si="177"/>
        <v>0</v>
      </c>
      <c r="AU55" s="36">
        <f t="shared" si="177"/>
        <v>0</v>
      </c>
      <c r="AV55" s="37">
        <f t="shared" si="12"/>
        <v>0</v>
      </c>
    </row>
    <row r="56" spans="2:48" x14ac:dyDescent="0.3">
      <c r="B56" s="27" t="s">
        <v>64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31">
        <v>0</v>
      </c>
      <c r="P56" s="71">
        <f t="shared" si="4"/>
        <v>0</v>
      </c>
      <c r="Q56" s="32">
        <f t="shared" si="14"/>
        <v>0</v>
      </c>
      <c r="R56" s="32">
        <f t="shared" si="15"/>
        <v>0</v>
      </c>
      <c r="S56" s="32">
        <f t="shared" si="6"/>
        <v>0</v>
      </c>
      <c r="T56" s="33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30"/>
      <c r="AF56" s="31">
        <f t="shared" si="8"/>
        <v>0</v>
      </c>
      <c r="AG56" s="32"/>
      <c r="AH56" s="32"/>
      <c r="AI56" s="32">
        <f t="shared" si="10"/>
        <v>0</v>
      </c>
      <c r="AJ56" s="33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30"/>
      <c r="AV56" s="31">
        <f t="shared" si="12"/>
        <v>0</v>
      </c>
    </row>
    <row r="57" spans="2:48" x14ac:dyDescent="0.3">
      <c r="B57" s="27" t="s">
        <v>42</v>
      </c>
      <c r="C57" s="48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31">
        <v>0</v>
      </c>
      <c r="P57" s="71">
        <f t="shared" si="4"/>
        <v>0</v>
      </c>
      <c r="Q57" s="32">
        <f t="shared" si="14"/>
        <v>0</v>
      </c>
      <c r="R57" s="32">
        <f t="shared" si="15"/>
        <v>0</v>
      </c>
      <c r="S57" s="32">
        <f t="shared" si="6"/>
        <v>0</v>
      </c>
      <c r="T57" s="33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30"/>
      <c r="AF57" s="31">
        <f t="shared" si="8"/>
        <v>0</v>
      </c>
      <c r="AG57" s="32"/>
      <c r="AH57" s="32"/>
      <c r="AI57" s="32">
        <f t="shared" si="10"/>
        <v>0</v>
      </c>
      <c r="AJ57" s="33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30"/>
      <c r="AV57" s="31">
        <f t="shared" si="12"/>
        <v>0</v>
      </c>
    </row>
    <row r="58" spans="2:48" x14ac:dyDescent="0.3">
      <c r="B58" s="27" t="s">
        <v>43</v>
      </c>
      <c r="C58" s="48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31">
        <v>0</v>
      </c>
      <c r="P58" s="71">
        <f t="shared" si="4"/>
        <v>0</v>
      </c>
      <c r="Q58" s="32">
        <f t="shared" si="14"/>
        <v>0</v>
      </c>
      <c r="R58" s="32">
        <f t="shared" si="15"/>
        <v>0</v>
      </c>
      <c r="S58" s="32">
        <f t="shared" si="6"/>
        <v>0</v>
      </c>
      <c r="T58" s="33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30"/>
      <c r="AF58" s="31">
        <f t="shared" si="8"/>
        <v>0</v>
      </c>
      <c r="AG58" s="32"/>
      <c r="AH58" s="32"/>
      <c r="AI58" s="32">
        <f t="shared" si="10"/>
        <v>0</v>
      </c>
      <c r="AJ58" s="33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30"/>
      <c r="AV58" s="31">
        <f t="shared" si="12"/>
        <v>0</v>
      </c>
    </row>
    <row r="59" spans="2:48" ht="41.4" x14ac:dyDescent="0.3">
      <c r="B59" s="27" t="s">
        <v>65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6">
        <v>0</v>
      </c>
      <c r="P59" s="74">
        <f t="shared" si="4"/>
        <v>0</v>
      </c>
      <c r="Q59" s="32">
        <f>SUM(Q60)</f>
        <v>0</v>
      </c>
      <c r="R59" s="32">
        <f>SUM(R60)</f>
        <v>0</v>
      </c>
      <c r="S59" s="32">
        <f t="shared" si="6"/>
        <v>0</v>
      </c>
      <c r="T59" s="67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0</v>
      </c>
      <c r="AE59" s="65">
        <v>0</v>
      </c>
      <c r="AF59" s="66">
        <f t="shared" si="8"/>
        <v>0</v>
      </c>
      <c r="AG59" s="32">
        <f>SUM(AG60)</f>
        <v>0</v>
      </c>
      <c r="AH59" s="32">
        <f>SUM(AH60)</f>
        <v>0</v>
      </c>
      <c r="AI59" s="32">
        <f t="shared" si="10"/>
        <v>0</v>
      </c>
      <c r="AJ59" s="67">
        <v>0</v>
      </c>
      <c r="AK59" s="64">
        <v>0</v>
      </c>
      <c r="AL59" s="64">
        <v>0</v>
      </c>
      <c r="AM59" s="64">
        <v>0</v>
      </c>
      <c r="AN59" s="64">
        <v>0</v>
      </c>
      <c r="AO59" s="64">
        <v>0</v>
      </c>
      <c r="AP59" s="64">
        <v>0</v>
      </c>
      <c r="AQ59" s="64">
        <v>0</v>
      </c>
      <c r="AR59" s="64">
        <v>0</v>
      </c>
      <c r="AS59" s="64">
        <v>0</v>
      </c>
      <c r="AT59" s="64">
        <v>0</v>
      </c>
      <c r="AU59" s="65">
        <v>0</v>
      </c>
      <c r="AV59" s="66">
        <f t="shared" si="12"/>
        <v>0</v>
      </c>
    </row>
    <row r="60" spans="2:48" s="26" customFormat="1" x14ac:dyDescent="0.3">
      <c r="B60" s="34" t="s">
        <v>44</v>
      </c>
      <c r="C60" s="35">
        <f>SUM(C61:C63)</f>
        <v>0</v>
      </c>
      <c r="D60" s="35">
        <f>SUM(D61:D63)</f>
        <v>0</v>
      </c>
      <c r="E60" s="35">
        <f t="shared" ref="E60:O60" si="178">SUM(E61:E63)</f>
        <v>0</v>
      </c>
      <c r="F60" s="35">
        <f t="shared" si="178"/>
        <v>0</v>
      </c>
      <c r="G60" s="35">
        <f>SUM(G61:G63)</f>
        <v>0</v>
      </c>
      <c r="H60" s="35">
        <f t="shared" si="178"/>
        <v>0</v>
      </c>
      <c r="I60" s="35">
        <f t="shared" si="178"/>
        <v>0</v>
      </c>
      <c r="J60" s="35">
        <f t="shared" si="178"/>
        <v>0</v>
      </c>
      <c r="K60" s="35">
        <f t="shared" si="178"/>
        <v>0</v>
      </c>
      <c r="L60" s="35">
        <f t="shared" si="178"/>
        <v>0</v>
      </c>
      <c r="M60" s="35">
        <f t="shared" si="178"/>
        <v>0</v>
      </c>
      <c r="N60" s="35">
        <f t="shared" si="178"/>
        <v>0</v>
      </c>
      <c r="O60" s="37">
        <f t="shared" si="178"/>
        <v>0</v>
      </c>
      <c r="P60" s="72">
        <f t="shared" si="4"/>
        <v>0</v>
      </c>
      <c r="Q60" s="24">
        <f t="shared" ref="Q60:R60" si="179">SUM(Q61:Q63)</f>
        <v>0</v>
      </c>
      <c r="R60" s="24">
        <f t="shared" si="179"/>
        <v>0</v>
      </c>
      <c r="S60" s="24">
        <f t="shared" si="6"/>
        <v>0</v>
      </c>
      <c r="T60" s="38">
        <f t="shared" ref="T60:AE60" si="180">SUM(T61:T63)</f>
        <v>0</v>
      </c>
      <c r="U60" s="35">
        <f t="shared" si="180"/>
        <v>0</v>
      </c>
      <c r="V60" s="35">
        <f t="shared" si="180"/>
        <v>0</v>
      </c>
      <c r="W60" s="35">
        <f t="shared" si="180"/>
        <v>0</v>
      </c>
      <c r="X60" s="35">
        <f t="shared" si="180"/>
        <v>0</v>
      </c>
      <c r="Y60" s="35">
        <f t="shared" si="180"/>
        <v>0</v>
      </c>
      <c r="Z60" s="35">
        <f t="shared" si="180"/>
        <v>0</v>
      </c>
      <c r="AA60" s="35">
        <f t="shared" si="180"/>
        <v>0</v>
      </c>
      <c r="AB60" s="35">
        <f t="shared" si="180"/>
        <v>0</v>
      </c>
      <c r="AC60" s="35">
        <f t="shared" si="180"/>
        <v>0</v>
      </c>
      <c r="AD60" s="35">
        <f t="shared" si="180"/>
        <v>0</v>
      </c>
      <c r="AE60" s="36">
        <f t="shared" si="180"/>
        <v>0</v>
      </c>
      <c r="AF60" s="37">
        <f t="shared" si="8"/>
        <v>0</v>
      </c>
      <c r="AG60" s="24">
        <f t="shared" ref="AG60:AH60" si="181">SUM(AG61:AG63)</f>
        <v>0</v>
      </c>
      <c r="AH60" s="24">
        <f t="shared" si="181"/>
        <v>0</v>
      </c>
      <c r="AI60" s="24">
        <f t="shared" si="10"/>
        <v>0</v>
      </c>
      <c r="AJ60" s="38">
        <f t="shared" ref="AJ60:AU60" si="182">SUM(AJ61:AJ63)</f>
        <v>0</v>
      </c>
      <c r="AK60" s="35">
        <f t="shared" si="182"/>
        <v>0</v>
      </c>
      <c r="AL60" s="35">
        <f t="shared" si="182"/>
        <v>0</v>
      </c>
      <c r="AM60" s="35">
        <f t="shared" si="182"/>
        <v>0</v>
      </c>
      <c r="AN60" s="35">
        <f t="shared" si="182"/>
        <v>0</v>
      </c>
      <c r="AO60" s="35">
        <f t="shared" si="182"/>
        <v>0</v>
      </c>
      <c r="AP60" s="35">
        <f t="shared" si="182"/>
        <v>0</v>
      </c>
      <c r="AQ60" s="35">
        <f t="shared" si="182"/>
        <v>0</v>
      </c>
      <c r="AR60" s="35">
        <f t="shared" si="182"/>
        <v>0</v>
      </c>
      <c r="AS60" s="35">
        <f t="shared" si="182"/>
        <v>0</v>
      </c>
      <c r="AT60" s="35">
        <f t="shared" si="182"/>
        <v>0</v>
      </c>
      <c r="AU60" s="36">
        <f t="shared" si="182"/>
        <v>0</v>
      </c>
      <c r="AV60" s="37">
        <f t="shared" si="12"/>
        <v>0</v>
      </c>
    </row>
    <row r="61" spans="2:48" x14ac:dyDescent="0.3">
      <c r="B61" s="27" t="s">
        <v>60</v>
      </c>
      <c r="C61" s="48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31">
        <v>0</v>
      </c>
      <c r="P61" s="71">
        <f t="shared" si="4"/>
        <v>0</v>
      </c>
      <c r="Q61" s="32">
        <f t="shared" si="14"/>
        <v>0</v>
      </c>
      <c r="R61" s="32">
        <f t="shared" si="15"/>
        <v>0</v>
      </c>
      <c r="S61" s="32">
        <f t="shared" si="6"/>
        <v>0</v>
      </c>
      <c r="T61" s="33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30"/>
      <c r="AF61" s="31">
        <f t="shared" si="8"/>
        <v>0</v>
      </c>
      <c r="AG61" s="32"/>
      <c r="AH61" s="32"/>
      <c r="AI61" s="32">
        <f t="shared" si="10"/>
        <v>0</v>
      </c>
      <c r="AJ61" s="33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30"/>
      <c r="AV61" s="31">
        <f t="shared" si="12"/>
        <v>0</v>
      </c>
    </row>
    <row r="62" spans="2:48" x14ac:dyDescent="0.3">
      <c r="B62" s="59" t="s">
        <v>61</v>
      </c>
      <c r="C62" s="60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61"/>
      <c r="P62" s="75"/>
      <c r="Q62" s="32"/>
      <c r="R62" s="32"/>
      <c r="S62" s="32"/>
      <c r="T62" s="62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63"/>
      <c r="AF62" s="61"/>
      <c r="AG62" s="32"/>
      <c r="AH62" s="32"/>
      <c r="AI62" s="32"/>
      <c r="AJ62" s="62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63"/>
      <c r="AV62" s="61"/>
    </row>
    <row r="63" spans="2:48" ht="14.4" thickBot="1" x14ac:dyDescent="0.35">
      <c r="B63" s="49" t="s">
        <v>62</v>
      </c>
      <c r="C63" s="50">
        <v>0</v>
      </c>
      <c r="D63" s="51">
        <v>0</v>
      </c>
      <c r="E63" s="51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1">
        <v>0</v>
      </c>
      <c r="M63" s="56">
        <v>0</v>
      </c>
      <c r="N63" s="51">
        <v>0</v>
      </c>
      <c r="O63" s="53">
        <v>0</v>
      </c>
      <c r="P63" s="76">
        <f t="shared" si="4"/>
        <v>0</v>
      </c>
      <c r="Q63" s="32">
        <f t="shared" si="14"/>
        <v>0</v>
      </c>
      <c r="R63" s="32">
        <f t="shared" si="15"/>
        <v>0</v>
      </c>
      <c r="S63" s="32">
        <f t="shared" si="6"/>
        <v>0</v>
      </c>
      <c r="T63" s="54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2"/>
      <c r="AF63" s="53">
        <f t="shared" si="8"/>
        <v>0</v>
      </c>
      <c r="AG63" s="32"/>
      <c r="AH63" s="32"/>
      <c r="AI63" s="32">
        <f t="shared" si="10"/>
        <v>0</v>
      </c>
      <c r="AJ63" s="54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3">
        <f t="shared" si="12"/>
        <v>0</v>
      </c>
    </row>
    <row r="64" spans="2:48" ht="14.4" thickTop="1" x14ac:dyDescent="0.3">
      <c r="F64" s="57"/>
      <c r="G64" s="57"/>
      <c r="H64" s="57"/>
      <c r="I64" s="57"/>
      <c r="J64" s="57"/>
      <c r="K64" s="57"/>
      <c r="M64" s="57"/>
    </row>
  </sheetData>
  <mergeCells count="6">
    <mergeCell ref="AJ1:AV1"/>
    <mergeCell ref="AJ2:AV2"/>
    <mergeCell ref="C2:P2"/>
    <mergeCell ref="C1:P1"/>
    <mergeCell ref="T1:AF1"/>
    <mergeCell ref="T2:AF2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30" sqref="F30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Mensual de Ingresos</vt:lpstr>
      <vt:lpstr>Hoja3</vt:lpstr>
      <vt:lpstr>'Presupuesto Mensual de Ingresos'!Títulos_a_imprimir</vt:lpstr>
    </vt:vector>
  </TitlesOfParts>
  <Company>Windows XP Titan Ultimate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</dc:creator>
  <cp:lastModifiedBy>ROUS LOPEZ</cp:lastModifiedBy>
  <cp:lastPrinted>2023-01-31T21:01:41Z</cp:lastPrinted>
  <dcterms:created xsi:type="dcterms:W3CDTF">2014-04-28T18:26:35Z</dcterms:created>
  <dcterms:modified xsi:type="dcterms:W3CDTF">2026-04-27T18:18:52Z</dcterms:modified>
</cp:coreProperties>
</file>